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tabRatio="811" activeTab="9"/>
  </bookViews>
  <sheets>
    <sheet name="DP1" sheetId="21" r:id="rId1"/>
    <sheet name="BP1" sheetId="5" r:id="rId2"/>
    <sheet name="ATTACH1" sheetId="22" r:id="rId3"/>
    <sheet name="Detail fondation" sheetId="23" r:id="rId4"/>
    <sheet name="Poteaux Fond" sheetId="28" r:id="rId5"/>
    <sheet name="Fondations Acier" sheetId="29" r:id="rId6"/>
    <sheet name="Poteaux rdc" sheetId="30" r:id="rId7"/>
    <sheet name="Poteaux Etage" sheetId="31" r:id="rId8"/>
    <sheet name="Poutres RDC" sheetId="32" r:id="rId9"/>
    <sheet name="Poutres ETAGE" sheetId="3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AA200600" localSheetId="2">#REF!</definedName>
    <definedName name="___________AA200600" localSheetId="0">#REF!</definedName>
    <definedName name="___________AA200600">#REF!</definedName>
    <definedName name="__________AA200600" localSheetId="2">#REF!</definedName>
    <definedName name="__________AA200600" localSheetId="0">#REF!</definedName>
    <definedName name="__________AA200600">#REF!</definedName>
    <definedName name="__________AAA200600" localSheetId="2">#REF!</definedName>
    <definedName name="__________AAA200600" localSheetId="0">#REF!</definedName>
    <definedName name="__________AAA200600">#REF!</definedName>
    <definedName name="_________AA200600" localSheetId="2">#REF!</definedName>
    <definedName name="_________AA200600" localSheetId="0">#REF!</definedName>
    <definedName name="_________AA200600">#REF!</definedName>
    <definedName name="_________AAA200600" localSheetId="2">#REF!</definedName>
    <definedName name="_________AAA200600" localSheetId="0">#REF!</definedName>
    <definedName name="_________AAA200600">#REF!</definedName>
    <definedName name="________AA200600" localSheetId="2">#REF!</definedName>
    <definedName name="________AA200600" localSheetId="0">#REF!</definedName>
    <definedName name="________AA200600">#REF!</definedName>
    <definedName name="________AAA200600" localSheetId="2">#REF!</definedName>
    <definedName name="________AAA200600" localSheetId="0">#REF!</definedName>
    <definedName name="________AAA200600">#REF!</definedName>
    <definedName name="_______AA200600" localSheetId="2">#REF!</definedName>
    <definedName name="_______AA200600" localSheetId="0">#REF!</definedName>
    <definedName name="_______AA200600">#REF!</definedName>
    <definedName name="_______AAA200600" localSheetId="2">#REF!</definedName>
    <definedName name="_______AAA200600" localSheetId="0">#REF!</definedName>
    <definedName name="_______AAA200600">#REF!</definedName>
    <definedName name="______AA200600" localSheetId="2">#REF!</definedName>
    <definedName name="______AA200600" localSheetId="0">#REF!</definedName>
    <definedName name="______AA200600">#REF!</definedName>
    <definedName name="______AAA200600" localSheetId="2">#REF!</definedName>
    <definedName name="______AAA200600" localSheetId="0">#REF!</definedName>
    <definedName name="______AAA200600">#REF!</definedName>
    <definedName name="_____AA200600" localSheetId="2">#REF!</definedName>
    <definedName name="_____AA200600" localSheetId="0">#REF!</definedName>
    <definedName name="_____AA200600">#REF!</definedName>
    <definedName name="_____AAA200600" localSheetId="2">#REF!</definedName>
    <definedName name="_____AAA200600" localSheetId="0">#REF!</definedName>
    <definedName name="_____AAA200600">#REF!</definedName>
    <definedName name="____AA200600" localSheetId="2">#REF!</definedName>
    <definedName name="____AA200600" localSheetId="0">#REF!</definedName>
    <definedName name="____AA200600">#REF!</definedName>
    <definedName name="____AAA200600" localSheetId="2">#REF!</definedName>
    <definedName name="____AAA200600" localSheetId="0">#REF!</definedName>
    <definedName name="____AAA200600">#REF!</definedName>
    <definedName name="___AA200600" localSheetId="2">#REF!</definedName>
    <definedName name="___AA200600" localSheetId="0">#REF!</definedName>
    <definedName name="___AA200600">#REF!</definedName>
    <definedName name="___AAA200600" localSheetId="2">#REF!</definedName>
    <definedName name="___AAA200600" localSheetId="0">#REF!</definedName>
    <definedName name="___AAA200600">#REF!</definedName>
    <definedName name="__AA200600" localSheetId="2">#REF!</definedName>
    <definedName name="__AA200600" localSheetId="0">#REF!</definedName>
    <definedName name="__AA200600">#REF!</definedName>
    <definedName name="__AAA200600" localSheetId="2">#REF!</definedName>
    <definedName name="__AAA200600" localSheetId="0">#REF!</definedName>
    <definedName name="__AAA200600">#REF!</definedName>
    <definedName name="__CAR20">[1]Fourniture!$B$58:$D$58</definedName>
    <definedName name="__CPJ35">[1]Fourniture!$B$10:$D$10</definedName>
    <definedName name="__CPJ45">[1]Fourniture!$B$11:$D$11</definedName>
    <definedName name="_AA200600" localSheetId="2">#REF!</definedName>
    <definedName name="_AA200600" localSheetId="0">#REF!</definedName>
    <definedName name="_AA200600">#REF!</definedName>
    <definedName name="_AAA200600" localSheetId="2">#REF!</definedName>
    <definedName name="_AAA200600" localSheetId="0">#REF!</definedName>
    <definedName name="_AAA200600">#REF!</definedName>
    <definedName name="_CAR20">[1]Fourniture!$B$58:$D$58</definedName>
    <definedName name="_CPJ35">[1]Fourniture!$B$10:$D$10</definedName>
    <definedName name="_CPJ45">[1]Fourniture!$B$11:$D$11</definedName>
    <definedName name="_xlnm._FilterDatabase" localSheetId="3" hidden="1">'Detail fondation'!$A$5:$I$98</definedName>
    <definedName name="a" localSheetId="2">#REF!</definedName>
    <definedName name="a" localSheetId="3">#REF!</definedName>
    <definedName name="a" localSheetId="0">#REF!</definedName>
    <definedName name="a">#REF!</definedName>
    <definedName name="AA" localSheetId="3">#REF!</definedName>
    <definedName name="AA">#REF!</definedName>
    <definedName name="AA20060000" localSheetId="2">#REF!</definedName>
    <definedName name="AA20060000" localSheetId="0">#REF!</definedName>
    <definedName name="AA20060000">#REF!</definedName>
    <definedName name="AAA" localSheetId="3">#REF!</definedName>
    <definedName name="AAA">#REF!</definedName>
    <definedName name="AAE" localSheetId="2">#REF!</definedName>
    <definedName name="AAE" localSheetId="0">#REF!</definedName>
    <definedName name="AAE">#REF!</definedName>
    <definedName name="ab" localSheetId="2">#REF!</definedName>
    <definedName name="ab" localSheetId="0">#REF!</definedName>
    <definedName name="ab">#REF!</definedName>
    <definedName name="Act">[1]Fourniture!$B$29:$D$29</definedName>
    <definedName name="adez" localSheetId="3">'[2]AVANT METRE pavillon B'!#REF!</definedName>
    <definedName name="adez">'[2]AVANT METRE pavillon B'!#REF!</definedName>
    <definedName name="AggloC07">[1]Fourniture!$B$20:$D$20</definedName>
    <definedName name="AggloC20">[1]Fourniture!$B$23:$D$23</definedName>
    <definedName name="auçèé" localSheetId="3">#REF!</definedName>
    <definedName name="auçèé">#REF!</definedName>
    <definedName name="az" localSheetId="2">#REF!</definedName>
    <definedName name="az" localSheetId="0">#REF!</definedName>
    <definedName name="az">#REF!</definedName>
    <definedName name="aze" localSheetId="2">#REF!</definedName>
    <definedName name="aze" localSheetId="0">#REF!</definedName>
    <definedName name="aze">#REF!</definedName>
    <definedName name="azer" localSheetId="2">'[3]SITUATION N°4'!#REF!</definedName>
    <definedName name="azer" localSheetId="0">'[3]SITUATION N°4'!#REF!</definedName>
    <definedName name="azer">'[3]SITUATION N°4'!#REF!</definedName>
    <definedName name="azert" localSheetId="2">#REF!</definedName>
    <definedName name="azert" localSheetId="0">#REF!</definedName>
    <definedName name="azert">#REF!</definedName>
    <definedName name="Database" localSheetId="2">#REF!</definedName>
    <definedName name="Database" localSheetId="0">#REF!</definedName>
    <definedName name="Database">#REF!</definedName>
    <definedName name="Betanc" localSheetId="3">[4]CPS1!#REF!</definedName>
    <definedName name="Betanc">[4]CPS1!#REF!</definedName>
    <definedName name="BGTPLA15" localSheetId="3">#REF!</definedName>
    <definedName name="BGTPLA15">#REF!</definedName>
    <definedName name="BITUME">[1]Fourniture!$B$45:$D$45</definedName>
    <definedName name="cambio">[5]Cambios!$B$3</definedName>
    <definedName name="CF15_" localSheetId="3">#REF!</definedName>
    <definedName name="CF15_">#REF!</definedName>
    <definedName name="CIRC" localSheetId="2">#REF!</definedName>
    <definedName name="CIRC" localSheetId="0">#REF!</definedName>
    <definedName name="CIRC">#REF!</definedName>
    <definedName name="conf" localSheetId="2">'[6]SITUATION N°4'!#REF!</definedName>
    <definedName name="conf" localSheetId="0">'[6]SITUATION N°4'!#REF!</definedName>
    <definedName name="conf">'[6]SITUATION N°4'!#REF!</definedName>
    <definedName name="Cote_décapé" localSheetId="2">#REF!</definedName>
    <definedName name="Cote_décapé" localSheetId="0">#REF!</definedName>
    <definedName name="Cote_décapé">#REF!</definedName>
    <definedName name="_xlnm.Criteria" localSheetId="2">#REF!</definedName>
    <definedName name="_xlnm.Criteria" localSheetId="3">#REF!</definedName>
    <definedName name="_xlnm.Criteria" localSheetId="0">#REF!</definedName>
    <definedName name="_xlnm.Criteria">#REF!</definedName>
    <definedName name="dddddddddddddddd" localSheetId="3">#REF!</definedName>
    <definedName name="dddddddddddddddd">#REF!</definedName>
    <definedName name="DEEEZDZ" localSheetId="3">#REF!</definedName>
    <definedName name="DEEEZDZ">#REF!</definedName>
    <definedName name="dfdhg" localSheetId="2">#REF!</definedName>
    <definedName name="dfdhg" localSheetId="0">#REF!</definedName>
    <definedName name="dfdhg">#REF!</definedName>
    <definedName name="dfgsdqfg" localSheetId="2">'[3]SITUATION N°4'!#REF!</definedName>
    <definedName name="dfgsdqfg" localSheetId="0">'[3]SITUATION N°4'!#REF!</definedName>
    <definedName name="dfgsdqfg">'[3]SITUATION N°4'!#REF!</definedName>
    <definedName name="DH">"Dirhams"</definedName>
    <definedName name="Ep.corpschaussee">[7]donnees!$S$2</definedName>
    <definedName name="erty" localSheetId="2">'[3]SITUATION N°4'!#REF!</definedName>
    <definedName name="erty" localSheetId="0">'[3]SITUATION N°4'!#REF!</definedName>
    <definedName name="erty">'[3]SITUATION N°4'!#REF!</definedName>
    <definedName name="etryuryuui" localSheetId="2">'[8]SITUATION N°4'!#REF!</definedName>
    <definedName name="etryuryuui" localSheetId="0">'[8]SITUATION N°4'!#REF!</definedName>
    <definedName name="etryuryuui">'[8]SITUATION N°4'!#REF!</definedName>
    <definedName name="_xlnm.Extract" localSheetId="3">#REF!</definedName>
    <definedName name="_xlnm.Extract">#REF!</definedName>
    <definedName name="EZZE" localSheetId="3">#REF!</definedName>
    <definedName name="EZZE">#REF!</definedName>
    <definedName name="F" localSheetId="3">#REF!</definedName>
    <definedName name="F">#REF!</definedName>
    <definedName name="F27S">[1]Fourniture!$B$46:$D$46</definedName>
    <definedName name="FR">"Francs"</definedName>
    <definedName name="FRGFR" localSheetId="3">#REF!</definedName>
    <definedName name="FRGFR">#REF!</definedName>
    <definedName name="FSH" localSheetId="3">#REF!</definedName>
    <definedName name="FSH">#REF!</definedName>
    <definedName name="GH" localSheetId="3">#REF!</definedName>
    <definedName name="GH">#REF!</definedName>
    <definedName name="GI">[1]Fourniture!$B$6:$D$6</definedName>
    <definedName name="GII">[1]Fourniture!$B$7:$D$7</definedName>
    <definedName name="gjhy" localSheetId="2">#REF!</definedName>
    <definedName name="gjhy" localSheetId="0">#REF!</definedName>
    <definedName name="gjhy">#REF!</definedName>
    <definedName name="hae" localSheetId="2">'[8]SITUATION N°4'!#REF!</definedName>
    <definedName name="hae" localSheetId="0">'[8]SITUATION N°4'!#REF!</definedName>
    <definedName name="hae">'[8]SITUATION N°4'!#REF!</definedName>
    <definedName name="hghj" localSheetId="2">#REF!</definedName>
    <definedName name="hghj" localSheetId="0">#REF!</definedName>
    <definedName name="hghj">#REF!</definedName>
    <definedName name="_xlnm.Print_Titles" localSheetId="3">'Detail fondation'!$1:$6</definedName>
    <definedName name="K" localSheetId="2">#REF!</definedName>
    <definedName name="K" localSheetId="0">#REF!</definedName>
    <definedName name="K">#REF!</definedName>
    <definedName name="kl" localSheetId="2">#REF!</definedName>
    <definedName name="kl" localSheetId="0">#REF!</definedName>
    <definedName name="kl">#REF!</definedName>
    <definedName name="liste.diam">[9]Feuil1!$A$7:$A$13</definedName>
    <definedName name="lkuplkml" localSheetId="2">#REF!</definedName>
    <definedName name="lkuplkml" localSheetId="0">#REF!</definedName>
    <definedName name="lkuplkml">#REF!</definedName>
    <definedName name="mo">'[10]EST CONF'!$A$8:$F$273</definedName>
    <definedName name="MOE">[1]Fourniture!$B$16:$D$16</definedName>
    <definedName name="MTM" localSheetId="0">#REF!</definedName>
    <definedName name="MTM">'[11]DP3'!$E$9</definedName>
    <definedName name="o" localSheetId="2">#REF!</definedName>
    <definedName name="o" localSheetId="0">#REF!</definedName>
    <definedName name="o">#REF!</definedName>
    <definedName name="P12_4" localSheetId="3">'[12]7512 05'!#REF!</definedName>
    <definedName name="P12_4">'[12]7512 05'!#REF!</definedName>
    <definedName name="Page1">'[13]PG1'!$K$29:$T$40</definedName>
    <definedName name="Planch12">[1]Fourniture!$B$18:$D$18</definedName>
    <definedName name="Prixf" localSheetId="3">#REF!</definedName>
    <definedName name="Prixf">#REF!</definedName>
    <definedName name="Prixsgo" localSheetId="3">'[12]7512 05'!#REF!</definedName>
    <definedName name="Prixsgo">'[12]7512 05'!#REF!</definedName>
    <definedName name="qsd" localSheetId="2">#REF!</definedName>
    <definedName name="qsd" localSheetId="0">#REF!</definedName>
    <definedName name="qsd">#REF!</definedName>
    <definedName name="sa" localSheetId="2">'[14]SITUATION N°4'!#REF!</definedName>
    <definedName name="sa" localSheetId="0">'[14]SITUATION N°4'!#REF!</definedName>
    <definedName name="sa">'[14]SITUATION N°4'!#REF!</definedName>
    <definedName name="sade" localSheetId="2">#REF!</definedName>
    <definedName name="sade" localSheetId="0">#REF!</definedName>
    <definedName name="sade">#REF!</definedName>
    <definedName name="sd" localSheetId="2">#REF!</definedName>
    <definedName name="sd" localSheetId="0">#REF!</definedName>
    <definedName name="sd">#REF!</definedName>
    <definedName name="sdfg" localSheetId="2">'[3]SITUATION N°4'!#REF!</definedName>
    <definedName name="sdfg" localSheetId="0">'[3]SITUATION N°4'!#REF!</definedName>
    <definedName name="sdfg">'[3]SITUATION N°4'!#REF!</definedName>
    <definedName name="SER" localSheetId="2">'[8]SITUATION N°4'!#REF!</definedName>
    <definedName name="SER" localSheetId="0">'[8]SITUATION N°4'!#REF!</definedName>
    <definedName name="SER">'[8]SITUATION N°4'!#REF!</definedName>
    <definedName name="si" localSheetId="2">#REF!</definedName>
    <definedName name="si" localSheetId="0">#REF!</definedName>
    <definedName name="si">#REF!</definedName>
    <definedName name="SM">[1]Fourniture!$B$3:$D$3</definedName>
    <definedName name="so" localSheetId="2">#REF!</definedName>
    <definedName name="so" localSheetId="0">#REF!</definedName>
    <definedName name="so">#REF!</definedName>
    <definedName name="st" localSheetId="2">#REF!</definedName>
    <definedName name="st" localSheetId="0">#REF!</definedName>
    <definedName name="st">#REF!</definedName>
    <definedName name="str" localSheetId="2">#REF!</definedName>
    <definedName name="str" localSheetId="0">#REF!</definedName>
    <definedName name="str">#REF!</definedName>
    <definedName name="SZ" localSheetId="3">#REF!</definedName>
    <definedName name="SZ">#REF!</definedName>
    <definedName name="Treillis_S">[1]Fourniture!$B$30:$D$30</definedName>
    <definedName name="voi" localSheetId="2">'[14]SITUATION N°4'!#REF!</definedName>
    <definedName name="voi" localSheetId="0">'[14]SITUATION N°4'!#REF!</definedName>
    <definedName name="voi">'[14]SITUATION N°4'!#REF!</definedName>
    <definedName name="yu" localSheetId="2">#REF!</definedName>
    <definedName name="yu" localSheetId="0">#REF!</definedName>
    <definedName name="yu">#REF!</definedName>
    <definedName name="zerfgfhfgh" localSheetId="2">#REF!</definedName>
    <definedName name="zerfgfhfgh" localSheetId="0">#REF!</definedName>
    <definedName name="zerfgfhfgh">#REF!</definedName>
    <definedName name="zert" localSheetId="2">#REF!</definedName>
    <definedName name="zert" localSheetId="0">#REF!</definedName>
    <definedName name="zert">#REF!</definedName>
    <definedName name="zertre" localSheetId="2">#REF!</definedName>
    <definedName name="zertre" localSheetId="0">#REF!</definedName>
    <definedName name="zertre">#REF!</definedName>
    <definedName name="_xlnm.Print_Area" localSheetId="2">ATTACH1!$A$1:$I$75</definedName>
    <definedName name="_xlnm.Print_Area" localSheetId="1">'BP1'!$A$1:$J$79</definedName>
    <definedName name="_xlnm.Print_Area" localSheetId="3">'Detail fondation'!$A$1:$I$156</definedName>
    <definedName name="_xlnm.Print_Area" localSheetId="0">'DP1'!$B$2:$F$89</definedName>
    <definedName name="_xlnm.Print_Area" localSheetId="5">'Fondations Acier'!$A$1:$R$93</definedName>
    <definedName name="_xlnm.Print_Area" localSheetId="7">'Poteaux Etage'!$A$1:$R$57</definedName>
    <definedName name="_xlnm.Print_Area" localSheetId="4">'Poteaux Fond'!$A$1:$R$57</definedName>
    <definedName name="_xlnm.Print_Area" localSheetId="6">'Poteaux rdc'!$A$1:$R$71</definedName>
    <definedName name="_xlnm.Print_Area" localSheetId="9">'Poutres ETAGE'!$A$1:$R$139</definedName>
    <definedName name="_xlnm.Print_Area" localSheetId="8">'Poutres RDC'!$A$1:$R$153</definedName>
    <definedName name="Zone_impres_MI" localSheetId="2">#REF!</definedName>
    <definedName name="Zone_impres_MI" localSheetId="3">#REF!</definedName>
    <definedName name="Zone_impres_MI" localSheetId="0">#REF!</definedName>
    <definedName name="Zone_impr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C9" authorId="0">
      <text>
        <r>
          <rPr>
            <b/>
            <sz val="9"/>
            <rFont val="Tahoma"/>
            <charset val="134"/>
          </rPr>
          <t>hp:</t>
        </r>
        <r>
          <rPr>
            <sz val="9"/>
            <rFont val="Tahoma"/>
            <charset val="134"/>
          </rPr>
          <t xml:space="preserve">
Volume ( voire calcule de cubatures)
</t>
        </r>
      </text>
    </comment>
  </commentList>
</comments>
</file>

<file path=xl/sharedStrings.xml><?xml version="1.0" encoding="utf-8"?>
<sst xmlns="http://schemas.openxmlformats.org/spreadsheetml/2006/main" count="1585" uniqueCount="318">
  <si>
    <t>Décompte provisoir n°2 08/08/2018</t>
  </si>
  <si>
    <t>Entreprise</t>
  </si>
  <si>
    <t xml:space="preserve">Opération : </t>
  </si>
  <si>
    <t>TRAVAUX DE LA REALISATION DU BATIMENTS DE LA DOUANE (PSA) 
de 
L'ATLANTIC FREE ZONE A KENETRA</t>
  </si>
  <si>
    <t>Adresse</t>
  </si>
  <si>
    <t>Patente</t>
  </si>
  <si>
    <t xml:space="preserve">Maître d'Ouvrage : </t>
  </si>
  <si>
    <t>AFZI</t>
  </si>
  <si>
    <t>R.C.n°</t>
  </si>
  <si>
    <t xml:space="preserve">Maître d'Ouvrage délégué : </t>
  </si>
  <si>
    <t>MEDZ</t>
  </si>
  <si>
    <t>IF n°</t>
  </si>
  <si>
    <t>Marché n° :</t>
  </si>
  <si>
    <t>15/01/2026</t>
  </si>
  <si>
    <t>C.N.S.S. n°</t>
  </si>
  <si>
    <t>Travaux HT</t>
  </si>
  <si>
    <t xml:space="preserve"> 2237 944,30</t>
  </si>
  <si>
    <t>Banque</t>
  </si>
  <si>
    <t>Avenant</t>
  </si>
  <si>
    <t>Compte n° :</t>
  </si>
  <si>
    <t>TOTAL</t>
  </si>
  <si>
    <t>ICE</t>
  </si>
  <si>
    <t>R.G. (7%)</t>
  </si>
  <si>
    <t xml:space="preserve"> Délai d'exécution : </t>
  </si>
  <si>
    <t>7 mois</t>
  </si>
  <si>
    <t>Travaux réalisés au:</t>
  </si>
  <si>
    <t xml:space="preserve"> Montant DH/ TTC : </t>
  </si>
  <si>
    <t xml:space="preserve"> Montant DH/ HC : </t>
  </si>
  <si>
    <t>LIBELLES</t>
  </si>
  <si>
    <t>CUMUL DU MOIS</t>
  </si>
  <si>
    <t>CUMUL  PRECEDENT</t>
  </si>
  <si>
    <t>SITUATION TRAVAUX DU MOIS</t>
  </si>
  <si>
    <t>1 - TRAVAUX EXECUTES</t>
  </si>
  <si>
    <t xml:space="preserve">          FORFAIT</t>
  </si>
  <si>
    <t xml:space="preserve">       Métré</t>
  </si>
  <si>
    <t xml:space="preserve">          Approvisionnement</t>
  </si>
  <si>
    <t xml:space="preserve">          Révision des prix</t>
  </si>
  <si>
    <t>TOTAL (1)</t>
  </si>
  <si>
    <t>2 - RETENUES</t>
  </si>
  <si>
    <t xml:space="preserve">          Récupération avance</t>
  </si>
  <si>
    <t xml:space="preserve">          Retenue de garantie</t>
  </si>
  <si>
    <t xml:space="preserve">          Pénalités de retard</t>
  </si>
  <si>
    <t xml:space="preserve">          Compte prorata</t>
  </si>
  <si>
    <t xml:space="preserve">          Divers</t>
  </si>
  <si>
    <t>TOTAL (2)</t>
  </si>
  <si>
    <t>Reste dû à l'entreprise (1)-(2)</t>
  </si>
  <si>
    <t>* Arrêté le présent décompte à la somme de :</t>
  </si>
  <si>
    <t xml:space="preserve">ENTREPRISE : </t>
  </si>
  <si>
    <t>ARCHITECTE</t>
  </si>
  <si>
    <t>BET : NOVEC</t>
  </si>
  <si>
    <t>OPC : NOVEC</t>
  </si>
  <si>
    <t xml:space="preserve"> </t>
  </si>
  <si>
    <t xml:space="preserve">  VISA MAITRE D'OUVRAGE : </t>
  </si>
  <si>
    <t xml:space="preserve">  VISA MAITRE D'OUVRAGE DELEGUE : </t>
  </si>
  <si>
    <t>Acompte  : ..............................................</t>
  </si>
  <si>
    <t>dont TVA : .........................................</t>
  </si>
  <si>
    <t>Réglé par Chèque :</t>
  </si>
  <si>
    <t>N° :  ..............................................</t>
  </si>
  <si>
    <t>Tiré sur  : ..............................................</t>
  </si>
  <si>
    <t>TRAVAUX DE LA REALISATION DU BATIMENTS DE LA DOUANE (PSA) de L'ATLANTIC FREE ZONE A KENETRA</t>
  </si>
  <si>
    <t>LOT: TOUS CORPS D'ETAT</t>
  </si>
  <si>
    <t xml:space="preserve">BORDEREAU DES PRIX - DETAIL - ESTIMATIF </t>
  </si>
  <si>
    <t>DECOMPTE PROVSOIRE N°2</t>
  </si>
  <si>
    <t>N°</t>
  </si>
  <si>
    <t xml:space="preserve">DESIGNATION DES PRIX </t>
  </si>
  <si>
    <t>U</t>
  </si>
  <si>
    <t>QUANTITE MARCHE</t>
  </si>
  <si>
    <t>QUANTITE REVISEE</t>
  </si>
  <si>
    <t>PRIX UNITAIRES
HT</t>
  </si>
  <si>
    <t>QTE MOIS PRECEDENT</t>
  </si>
  <si>
    <t>QTE MOIS</t>
  </si>
  <si>
    <t>QTE TOTAL</t>
  </si>
  <si>
    <t xml:space="preserve">MONTANT </t>
  </si>
  <si>
    <t>Sous lot N°1 GROS ŒUVRE</t>
  </si>
  <si>
    <t xml:space="preserve">TERRASEMENT </t>
  </si>
  <si>
    <t>Sous lot N°1 GROS - ŒUVRE</t>
  </si>
  <si>
    <t>1,1,1</t>
  </si>
  <si>
    <t>Fouilles en pleine masse dans tous terrains y/c rocher</t>
  </si>
  <si>
    <t xml:space="preserve">Le métre cube </t>
  </si>
  <si>
    <t>M3</t>
  </si>
  <si>
    <t>1,1,2</t>
  </si>
  <si>
    <t>Fouilles en puits et rigoles dans tout terrain y/c rocher</t>
  </si>
  <si>
    <t>1,1,3</t>
  </si>
  <si>
    <t xml:space="preserve">Evacuation ou mise en remblais </t>
  </si>
  <si>
    <t xml:space="preserve">TOTAL TERRASSEMENT </t>
  </si>
  <si>
    <t xml:space="preserve">MACONNERIE ET BETON ARME HYDROFUGE EN INFRASTRUCTURE </t>
  </si>
  <si>
    <t>1,2,1</t>
  </si>
  <si>
    <t>Gros béton</t>
  </si>
  <si>
    <t>1,2,2</t>
  </si>
  <si>
    <t xml:space="preserve">béton de propreté </t>
  </si>
  <si>
    <t>1,2,3</t>
  </si>
  <si>
    <t>Béton pour poteaux</t>
  </si>
  <si>
    <t>1,2,4</t>
  </si>
  <si>
    <t>Béton pour semelle</t>
  </si>
  <si>
    <t>1,2,5</t>
  </si>
  <si>
    <t>Béton pour longrines et chainages</t>
  </si>
  <si>
    <t>1,2,6</t>
  </si>
  <si>
    <t>Aciers à haute adhérence fe 500</t>
  </si>
  <si>
    <t xml:space="preserve">Le métre carré </t>
  </si>
  <si>
    <t>KG</t>
  </si>
  <si>
    <t>1,2,7</t>
  </si>
  <si>
    <t>Arase étanche</t>
  </si>
  <si>
    <t>M²</t>
  </si>
  <si>
    <t>1,2,8</t>
  </si>
  <si>
    <t>Maçonnerie en moeallons en fondation</t>
  </si>
  <si>
    <t xml:space="preserve">TOTAL MACONNERIE ET BETON ARME HYDROFUGE EN INFRASTRUCTURE  </t>
  </si>
  <si>
    <t xml:space="preserve">RESEAUX SOUS-DALLAGE </t>
  </si>
  <si>
    <t>1,3,1</t>
  </si>
  <si>
    <t>Regard en béton armé hydrofuge 40x40</t>
  </si>
  <si>
    <t>L'unité:</t>
  </si>
  <si>
    <t>1,3,2</t>
  </si>
  <si>
    <t>Regard en béton armé hydrofuge 50x50</t>
  </si>
  <si>
    <t>1,3,3</t>
  </si>
  <si>
    <t>Regard en béton armé hydrofuge 60x60 visitable</t>
  </si>
  <si>
    <t>1,3,5</t>
  </si>
  <si>
    <r>
      <rPr>
        <sz val="10"/>
        <color theme="1"/>
        <rFont val="Calibri"/>
        <charset val="134"/>
        <scheme val="minor"/>
      </rPr>
      <t xml:space="preserve">Buse en PVC </t>
    </r>
    <r>
      <rPr>
        <sz val="10"/>
        <color theme="1"/>
        <rFont val="Calibri"/>
        <charset val="134"/>
      </rPr>
      <t>Ø</t>
    </r>
    <r>
      <rPr>
        <sz val="8"/>
        <color theme="1"/>
        <rFont val="Calibri"/>
        <charset val="134"/>
      </rPr>
      <t xml:space="preserve"> 200 type assainissement</t>
    </r>
  </si>
  <si>
    <t>le métre linéaire</t>
  </si>
  <si>
    <t>ML</t>
  </si>
  <si>
    <t>TOTAL RESEAUX SOUS - DALLAGE</t>
  </si>
  <si>
    <t xml:space="preserve">DALLAGES </t>
  </si>
  <si>
    <t>1,4,1</t>
  </si>
  <si>
    <t>Remblai d'apport en tout venant de 20cm</t>
  </si>
  <si>
    <t>1,4,2</t>
  </si>
  <si>
    <t>Dallage en béton arme de 13cm d'epaisseur</t>
  </si>
  <si>
    <t>TOTAL DALLAGE</t>
  </si>
  <si>
    <t>SUPER STRUCTURE AU FORFAIT</t>
  </si>
  <si>
    <t>1,5,1</t>
  </si>
  <si>
    <t xml:space="preserve">Béton pour poteaux et raidisseurs </t>
  </si>
  <si>
    <t>1,5,2</t>
  </si>
  <si>
    <t>Béton pour Poutres et chainages</t>
  </si>
  <si>
    <t>1,5,3</t>
  </si>
  <si>
    <t>Plancher dalles pleines de toutes épaisseurs</t>
  </si>
  <si>
    <t>1,5,4</t>
  </si>
  <si>
    <t>Béton pour  escaliers</t>
  </si>
  <si>
    <t>1,5,5</t>
  </si>
  <si>
    <t>Béton pour voiles et accrotere de toutes dimensions</t>
  </si>
  <si>
    <t>1,5,6</t>
  </si>
  <si>
    <t>1,5,7</t>
  </si>
  <si>
    <t>Plancher Hourdis 20+5</t>
  </si>
  <si>
    <t>TOTAL BETON ET ACIER EN ELEVATION</t>
  </si>
  <si>
    <t xml:space="preserve">                                                                                                          TOTAL GROS ŒUVRE HT</t>
  </si>
  <si>
    <t xml:space="preserve">GIDNA                                 NOVEC OPC                            NOVEC BET                                      ARCHITECTE                                   MEDZ                 </t>
  </si>
  <si>
    <t>TRAVAUX RALISES AU 15/01/2026</t>
  </si>
  <si>
    <t>ATTACHEMENT PROVSOIRE N°2</t>
  </si>
  <si>
    <t>% REALISE</t>
  </si>
  <si>
    <t xml:space="preserve">TOTAL DALLAGES </t>
  </si>
  <si>
    <t>TRAVAUX EN SUPER STRUCTURE AU FORFAIT</t>
  </si>
  <si>
    <t>BETON ET ACIER EN ELEVATION</t>
  </si>
  <si>
    <t>M2</t>
  </si>
  <si>
    <t>DP N2 BATIMENT DOUANE</t>
  </si>
  <si>
    <t>Désignation des ouvrages</t>
  </si>
  <si>
    <t>NBR</t>
  </si>
  <si>
    <t>LONG</t>
  </si>
  <si>
    <t>LARGE</t>
  </si>
  <si>
    <t>HAUT</t>
  </si>
  <si>
    <t>Auxiliaire</t>
  </si>
  <si>
    <t>T.PART</t>
  </si>
  <si>
    <t>T. DÉFINI</t>
  </si>
  <si>
    <t>A-1 TERRASSEMENT ET DALLAGE</t>
  </si>
  <si>
    <t xml:space="preserve">FOUILLE EN PLEINE MASSE EN TERRAIN DE TOUTE NATURE </t>
  </si>
  <si>
    <t>nbr</t>
  </si>
  <si>
    <t>lon chainage</t>
  </si>
  <si>
    <t>déborde</t>
  </si>
  <si>
    <t>qté</t>
  </si>
  <si>
    <t>lon longrine</t>
  </si>
  <si>
    <t xml:space="preserve">FOUILLE EN PUITS ET EN RIGOLE EN TERRAIN DE TOUTE NATURE </t>
  </si>
  <si>
    <t>S1</t>
  </si>
  <si>
    <t>S2</t>
  </si>
  <si>
    <t>S3</t>
  </si>
  <si>
    <t>S4</t>
  </si>
  <si>
    <t>CH</t>
  </si>
  <si>
    <t>LG</t>
  </si>
  <si>
    <t xml:space="preserve">EVACUATION DES DEBLAIS ET MISE EN REMBLAIS </t>
  </si>
  <si>
    <t xml:space="preserve">Remblai </t>
  </si>
  <si>
    <t>volume du béton-vomume du déblai</t>
  </si>
  <si>
    <t xml:space="preserve">GROS BETON </t>
  </si>
  <si>
    <t>MASSIF</t>
  </si>
  <si>
    <t xml:space="preserve">A-2 BETON ARME EN FONDATION </t>
  </si>
  <si>
    <t xml:space="preserve">BETON DE PROPRETE </t>
  </si>
  <si>
    <t xml:space="preserve">BETON POUR BETON ARME EN FONDATION Y/C ACIERS </t>
  </si>
  <si>
    <t>Semelles Isolees</t>
  </si>
  <si>
    <t>Déduire pente des semelles</t>
  </si>
  <si>
    <t>FUT DES POTEAUX</t>
  </si>
  <si>
    <t>LONGRINES</t>
  </si>
  <si>
    <t>CHAINAGES</t>
  </si>
  <si>
    <t>Fut de Poteaux</t>
  </si>
  <si>
    <t>P1</t>
  </si>
  <si>
    <t>P2</t>
  </si>
  <si>
    <t>P3</t>
  </si>
  <si>
    <t>P4</t>
  </si>
  <si>
    <t xml:space="preserve">BETON CYCLOPEEN POUR MACONNERIE EN FONDATION </t>
  </si>
  <si>
    <t>déduire pente de la semelle</t>
  </si>
  <si>
    <t xml:space="preserve"> REGARDS ET CANALISATIONS </t>
  </si>
  <si>
    <t xml:space="preserve">REGARDS EN BETON </t>
  </si>
  <si>
    <t>a- 40x40</t>
  </si>
  <si>
    <t xml:space="preserve">CANALISATIONS EN PVC </t>
  </si>
  <si>
    <t>a-diamétre 200</t>
  </si>
  <si>
    <t>ARASE ETANCHE</t>
  </si>
  <si>
    <t xml:space="preserve">FORME EN BETON DE 13 CM </t>
  </si>
  <si>
    <t>DALLAGE EP 13CM</t>
  </si>
  <si>
    <t>TRAVAUX EN SUPERSTRUCTURE AU FORFAIT</t>
  </si>
  <si>
    <t>RDC</t>
  </si>
  <si>
    <t>P1 D50</t>
  </si>
  <si>
    <t>P2 45x30</t>
  </si>
  <si>
    <t>P3 62x30</t>
  </si>
  <si>
    <t>P4 96x30</t>
  </si>
  <si>
    <t>R 20x20</t>
  </si>
  <si>
    <t>1er ETAGE</t>
  </si>
  <si>
    <t>R1 -R2  30x45</t>
  </si>
  <si>
    <t>CR8 30x75</t>
  </si>
  <si>
    <t>R8 30x75</t>
  </si>
  <si>
    <t>R7 30x75</t>
  </si>
  <si>
    <t>R6 30x45</t>
  </si>
  <si>
    <t>R5 30x45</t>
  </si>
  <si>
    <t>R3+R4 25x40</t>
  </si>
  <si>
    <t>R7 inf 20x30</t>
  </si>
  <si>
    <t>ETAGE</t>
  </si>
  <si>
    <t>T1-T2  30x45</t>
  </si>
  <si>
    <t>CT8 30x75</t>
  </si>
  <si>
    <t>T8 30x75</t>
  </si>
  <si>
    <t>T7 30x75</t>
  </si>
  <si>
    <t>T6 30x45</t>
  </si>
  <si>
    <t>T5 30x45</t>
  </si>
  <si>
    <t>T3+T4 25x40</t>
  </si>
  <si>
    <t>DP de 30</t>
  </si>
  <si>
    <t>Bande en contour</t>
  </si>
  <si>
    <t>ESC</t>
  </si>
  <si>
    <t>PALIER</t>
  </si>
  <si>
    <t>Acrotères</t>
  </si>
  <si>
    <t>Becquet</t>
  </si>
  <si>
    <t>Aciers à haute adhérence Fe 500</t>
  </si>
  <si>
    <t>Projet : DOUANE MEDZ</t>
  </si>
  <si>
    <t>Lot: GROS ŒUVRE</t>
  </si>
  <si>
    <t>BATIMENT DOUANE DP 2</t>
  </si>
  <si>
    <t>Niveau: FONDATION</t>
  </si>
  <si>
    <t>DESIGNATION DES OUVRAGES</t>
  </si>
  <si>
    <t xml:space="preserve">Repère </t>
  </si>
  <si>
    <t>Nbre.Arm</t>
  </si>
  <si>
    <t>DIAM</t>
  </si>
  <si>
    <t>N.P.S</t>
  </si>
  <si>
    <t>Nbre.total arm</t>
  </si>
  <si>
    <t>Long  développée</t>
  </si>
  <si>
    <t>Tor</t>
  </si>
  <si>
    <t>Ø6</t>
  </si>
  <si>
    <t>Ø8</t>
  </si>
  <si>
    <r>
      <rPr>
        <b/>
        <sz val="10"/>
        <rFont val="Arial"/>
        <charset val="134"/>
      </rPr>
      <t>Ø</t>
    </r>
    <r>
      <rPr>
        <b/>
        <sz val="10"/>
        <rFont val="Times New Roman"/>
        <charset val="134"/>
      </rPr>
      <t>10</t>
    </r>
  </si>
  <si>
    <r>
      <rPr>
        <b/>
        <sz val="10"/>
        <rFont val="Arial"/>
        <charset val="134"/>
      </rPr>
      <t>Ø</t>
    </r>
    <r>
      <rPr>
        <b/>
        <sz val="10"/>
        <rFont val="Times New Roman"/>
        <charset val="134"/>
      </rPr>
      <t>12</t>
    </r>
  </si>
  <si>
    <r>
      <rPr>
        <b/>
        <sz val="10"/>
        <rFont val="Arial"/>
        <charset val="134"/>
      </rPr>
      <t>Ø</t>
    </r>
    <r>
      <rPr>
        <b/>
        <sz val="10"/>
        <rFont val="Times New Roman"/>
        <charset val="134"/>
      </rPr>
      <t>14</t>
    </r>
  </si>
  <si>
    <r>
      <rPr>
        <b/>
        <sz val="10"/>
        <rFont val="Arial"/>
        <charset val="134"/>
      </rPr>
      <t>Ø</t>
    </r>
    <r>
      <rPr>
        <b/>
        <sz val="10"/>
        <rFont val="Times New Roman"/>
        <charset val="134"/>
      </rPr>
      <t>16</t>
    </r>
  </si>
  <si>
    <t>Ø20</t>
  </si>
  <si>
    <r>
      <rPr>
        <b/>
        <sz val="10"/>
        <rFont val="Arial"/>
        <charset val="134"/>
      </rPr>
      <t>Ø</t>
    </r>
    <r>
      <rPr>
        <b/>
        <sz val="10"/>
        <rFont val="Times New Roman"/>
        <charset val="134"/>
      </rPr>
      <t>25</t>
    </r>
  </si>
  <si>
    <t>Ø32</t>
  </si>
  <si>
    <t>Ø40</t>
  </si>
  <si>
    <t>Aciers à haute adhérence</t>
  </si>
  <si>
    <t>P1 D50 Fond</t>
  </si>
  <si>
    <t>T vert</t>
  </si>
  <si>
    <t>T</t>
  </si>
  <si>
    <t>Cercle</t>
  </si>
  <si>
    <t>Ep</t>
  </si>
  <si>
    <t>Poids / ml:</t>
  </si>
  <si>
    <t>Poids:</t>
  </si>
  <si>
    <t>Poids total:</t>
  </si>
  <si>
    <t>Béton</t>
  </si>
  <si>
    <t>Ratio Kg/m3</t>
  </si>
  <si>
    <t>P2 30x45 Fond</t>
  </si>
  <si>
    <t xml:space="preserve">Cad +ep </t>
  </si>
  <si>
    <t>P3 62x30 Fond</t>
  </si>
  <si>
    <t>P4 96x30 Fond</t>
  </si>
  <si>
    <t>Poids total</t>
  </si>
  <si>
    <t>Lot: GROS ŒUVRES</t>
  </si>
  <si>
    <t>BATIMENT DOUANE DP N2</t>
  </si>
  <si>
    <t>S1 170x130</t>
  </si>
  <si>
    <t>Trans inf</t>
  </si>
  <si>
    <t>Long inf</t>
  </si>
  <si>
    <t>Trans sup</t>
  </si>
  <si>
    <t>Long sup</t>
  </si>
  <si>
    <t>S2 150x150</t>
  </si>
  <si>
    <t>S3 150x220</t>
  </si>
  <si>
    <t>S4 120x160</t>
  </si>
  <si>
    <t>CH 40x20</t>
  </si>
  <si>
    <t>Fil Long</t>
  </si>
  <si>
    <t>Cad + Etr</t>
  </si>
  <si>
    <t>LG 25x40</t>
  </si>
  <si>
    <t>Fil Long sup</t>
  </si>
  <si>
    <t>Fil Long inf</t>
  </si>
  <si>
    <t xml:space="preserve">BATIMENT DOUANE DP N2 </t>
  </si>
  <si>
    <t>Niveau: SUPER STRUCTURE</t>
  </si>
  <si>
    <t>P1 D50 RDC</t>
  </si>
  <si>
    <t xml:space="preserve">                             TOTAL ACIER EN SUPER STRUCTURE</t>
  </si>
  <si>
    <t>P2 30x45 RDC</t>
  </si>
  <si>
    <t>pote rdc</t>
  </si>
  <si>
    <t>pote etage</t>
  </si>
  <si>
    <t>poutre rdc</t>
  </si>
  <si>
    <t>poutre etage</t>
  </si>
  <si>
    <t>P3 62x30 RDC</t>
  </si>
  <si>
    <t>P4 96x30 RDC</t>
  </si>
  <si>
    <t>R 20x20 RDC</t>
  </si>
  <si>
    <t>Cad</t>
  </si>
  <si>
    <t>R1</t>
  </si>
  <si>
    <t>R2</t>
  </si>
  <si>
    <t>R3</t>
  </si>
  <si>
    <t>R4</t>
  </si>
  <si>
    <t>R5</t>
  </si>
  <si>
    <t>R6</t>
  </si>
  <si>
    <t>R7</t>
  </si>
  <si>
    <t>R8</t>
  </si>
  <si>
    <t>CR8</t>
  </si>
  <si>
    <t>R10 INF</t>
  </si>
  <si>
    <t>Lot: GROS ŒUVRE-</t>
  </si>
  <si>
    <t>T1</t>
  </si>
  <si>
    <t>T2</t>
  </si>
  <si>
    <t>T3</t>
  </si>
  <si>
    <t>T4</t>
  </si>
  <si>
    <t>T5</t>
  </si>
  <si>
    <t>T6</t>
  </si>
  <si>
    <t>T7</t>
  </si>
  <si>
    <t>T8</t>
  </si>
  <si>
    <t>CT8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</si>
</sst>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€_-;\-* #,##0.00\ _€_-;_-* &quot;-&quot;??\ _€_-;_-@_-"/>
    <numFmt numFmtId="177" formatCode="_ * #,##0_ ;_ * \-#,##0_ ;_ * &quot;-&quot;_ ;_ @_ "/>
    <numFmt numFmtId="178" formatCode="_-* #,##0.00\ &quot;€&quot;_-;\-* #,##0.00\ &quot;€&quot;_-;_-* &quot;-&quot;??\ &quot;€&quot;_-;_-@_-"/>
    <numFmt numFmtId="179" formatCode="_-* #,##0.00\ [$€-1]_-;\-* #,##0.00\ [$€-1]_-;_-* &quot;-&quot;??\ [$€-1]_-"/>
    <numFmt numFmtId="180" formatCode="0.000"/>
    <numFmt numFmtId="181" formatCode="General_)"/>
    <numFmt numFmtId="182" formatCode="_-* #,##0.00\ _F_-;\-* #,##0.00\ _F_-;_-* &quot;-&quot;??\ _F_-;_-@_-"/>
    <numFmt numFmtId="183" formatCode="_-* #,##0.00_D_H_-;\-* #,##0.00_D_H_-;_-* &quot;-&quot;??_D_H_-;_-@_-"/>
    <numFmt numFmtId="184" formatCode="_-* #,##0\ _d_h_-;\-* #,##0\ _d_h_-;_-* &quot;-&quot;\ _d_h_-;_-@_-"/>
    <numFmt numFmtId="185" formatCode="_-* #,##0.000\ _€_-;\-* #,##0.000\ _€_-;_-* &quot;-&quot;??\ _€_-;_-@_-"/>
    <numFmt numFmtId="186" formatCode="0.0"/>
    <numFmt numFmtId="187" formatCode="_-* #,##0\ _€_-;\-* #,##0\ _€_-;_-* &quot;-&quot;??\ _€_-;_-@_-"/>
    <numFmt numFmtId="188" formatCode="#,##0.00_ ;\-#,##0.00\ "/>
  </numFmts>
  <fonts count="79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Arial"/>
      <charset val="134"/>
    </font>
    <font>
      <sz val="9"/>
      <name val="Times New Roman"/>
      <charset val="134"/>
    </font>
    <font>
      <sz val="8"/>
      <name val="Times New Roman"/>
      <charset val="134"/>
    </font>
    <font>
      <b/>
      <sz val="10"/>
      <color theme="1"/>
      <name val="Times New Roman"/>
      <charset val="134"/>
    </font>
    <font>
      <b/>
      <u/>
      <sz val="9"/>
      <color rgb="FFC00000"/>
      <name val="Times New Roman"/>
      <charset val="134"/>
    </font>
    <font>
      <sz val="9"/>
      <color theme="1"/>
      <name val="Times New Roman"/>
      <charset val="134"/>
    </font>
    <font>
      <b/>
      <sz val="10"/>
      <name val="Arial"/>
      <charset val="134"/>
    </font>
    <font>
      <b/>
      <sz val="11"/>
      <color rgb="FFFF0000"/>
      <name val="Times New Roman"/>
      <charset val="134"/>
    </font>
    <font>
      <sz val="11"/>
      <name val="Times New Roman"/>
      <charset val="134"/>
    </font>
    <font>
      <b/>
      <sz val="14"/>
      <name val="Times New Roman"/>
      <charset val="134"/>
    </font>
    <font>
      <sz val="10"/>
      <color rgb="FFFF0000"/>
      <name val="Times New Roman"/>
      <charset val="134"/>
    </font>
    <font>
      <b/>
      <u/>
      <sz val="9"/>
      <name val="Times New Roman"/>
      <charset val="134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Arial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b/>
      <sz val="12"/>
      <color theme="1"/>
      <name val="Arial"/>
      <charset val="134"/>
    </font>
    <font>
      <b/>
      <u/>
      <sz val="11"/>
      <color theme="1"/>
      <name val="Calibri"/>
      <charset val="134"/>
      <scheme val="minor"/>
    </font>
    <font>
      <b/>
      <sz val="9"/>
      <name val="Arial"/>
      <charset val="134"/>
    </font>
    <font>
      <b/>
      <sz val="10"/>
      <color theme="1"/>
      <name val="Arial"/>
      <charset val="134"/>
    </font>
    <font>
      <sz val="11"/>
      <color theme="1"/>
      <name val="Arial"/>
      <charset val="134"/>
    </font>
    <font>
      <b/>
      <sz val="11"/>
      <color rgb="FFFF0000"/>
      <name val="Arial"/>
      <charset val="134"/>
    </font>
    <font>
      <b/>
      <sz val="11"/>
      <color rgb="FF0070C0"/>
      <name val="Arial"/>
      <charset val="134"/>
    </font>
    <font>
      <b/>
      <sz val="11"/>
      <color theme="1"/>
      <name val="Arial"/>
      <charset val="134"/>
    </font>
    <font>
      <b/>
      <sz val="22"/>
      <name val="Arial"/>
      <charset val="134"/>
    </font>
    <font>
      <b/>
      <sz val="12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name val="Geneva"/>
      <charset val="134"/>
    </font>
    <font>
      <b/>
      <sz val="11"/>
      <name val="Geneva"/>
      <charset val="134"/>
    </font>
    <font>
      <b/>
      <sz val="12"/>
      <name val="Geneva"/>
      <charset val="134"/>
    </font>
    <font>
      <sz val="12"/>
      <name val="Geneva"/>
      <charset val="134"/>
    </font>
    <font>
      <b/>
      <sz val="10"/>
      <name val="Geneva"/>
      <charset val="134"/>
    </font>
    <font>
      <b/>
      <sz val="11"/>
      <color theme="0"/>
      <name val="Geneva"/>
      <charset val="134"/>
    </font>
    <font>
      <sz val="11"/>
      <color theme="0"/>
      <name val="GENEVA"/>
      <charset val="134"/>
    </font>
    <font>
      <b/>
      <sz val="10.8"/>
      <name val="Geneva"/>
      <charset val="134"/>
    </font>
    <font>
      <b/>
      <sz val="16"/>
      <name val="Geneva"/>
      <charset val="134"/>
    </font>
    <font>
      <sz val="11"/>
      <color rgb="FFFF0000"/>
      <name val="Genev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i/>
      <sz val="11"/>
      <color rgb="FF7F7F7F"/>
      <name val="Calibri"/>
      <charset val="0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theme="1"/>
      <name val="Calibri"/>
      <charset val="0"/>
      <scheme val="minor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theme="0"/>
      <name val="Calibri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9"/>
      <name val="Courier"/>
      <charset val="134"/>
    </font>
    <font>
      <b/>
      <u/>
      <sz val="10"/>
      <name val="Arial"/>
      <charset val="134"/>
    </font>
    <font>
      <u/>
      <sz val="10"/>
      <color theme="10"/>
      <name val="Arial"/>
      <charset val="134"/>
    </font>
    <font>
      <sz val="10"/>
      <name val="Geneva"/>
      <charset val="134"/>
    </font>
    <font>
      <sz val="10"/>
      <name val="Geneva"/>
      <charset val="134"/>
    </font>
    <font>
      <b/>
      <sz val="10"/>
      <color indexed="14"/>
      <name val="Geneva"/>
      <charset val="134"/>
    </font>
    <font>
      <sz val="10"/>
      <name val="Courier"/>
      <charset val="134"/>
    </font>
    <font>
      <b/>
      <sz val="11"/>
      <color theme="3"/>
      <name val="Calibri"/>
      <charset val="134"/>
      <scheme val="minor"/>
    </font>
    <font>
      <sz val="10"/>
      <color theme="1"/>
      <name val="Calibri"/>
      <charset val="134"/>
    </font>
    <font>
      <sz val="8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6">
    <xf numFmtId="0" fontId="0" fillId="0" borderId="0"/>
    <xf numFmtId="176" fontId="0" fillId="0" borderId="0" applyFont="0" applyFill="0" applyBorder="0" applyAlignment="0" applyProtection="0"/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" borderId="121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0" borderId="122" applyNumberFormat="0" applyFill="0" applyAlignment="0" applyProtection="0"/>
    <xf numFmtId="0" fontId="52" fillId="0" borderId="123" applyNumberFormat="0" applyFill="0" applyAlignment="0" applyProtection="0"/>
    <xf numFmtId="0" fontId="53" fillId="0" borderId="124" applyNumberFormat="0" applyFill="0" applyAlignment="0" applyProtection="0"/>
    <xf numFmtId="0" fontId="53" fillId="0" borderId="0" applyNumberFormat="0" applyFill="0" applyBorder="0" applyAlignment="0" applyProtection="0"/>
    <xf numFmtId="0" fontId="54" fillId="8" borderId="125" applyNumberFormat="0" applyAlignment="0" applyProtection="0"/>
    <xf numFmtId="0" fontId="55" fillId="9" borderId="126" applyNumberFormat="0" applyAlignment="0" applyProtection="0"/>
    <xf numFmtId="0" fontId="56" fillId="9" borderId="125" applyNumberFormat="0" applyAlignment="0" applyProtection="0"/>
    <xf numFmtId="0" fontId="57" fillId="10" borderId="127" applyNumberFormat="0" applyAlignment="0" applyProtection="0"/>
    <xf numFmtId="0" fontId="58" fillId="0" borderId="128" applyNumberFormat="0" applyFill="0" applyAlignment="0" applyProtection="0"/>
    <xf numFmtId="0" fontId="59" fillId="0" borderId="129" applyNumberFormat="0" applyFill="0" applyAlignment="0" applyProtection="0">
      <alignment vertical="center"/>
    </xf>
    <xf numFmtId="0" fontId="60" fillId="11" borderId="0" applyNumberFormat="0" applyBorder="0" applyAlignment="0" applyProtection="0"/>
    <xf numFmtId="0" fontId="61" fillId="12" borderId="0" applyNumberFormat="0" applyBorder="0" applyAlignment="0" applyProtection="0"/>
    <xf numFmtId="0" fontId="62" fillId="13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5" fillId="17" borderId="0" applyNumberFormat="0" applyBorder="0" applyAlignment="0" applyProtection="0"/>
    <xf numFmtId="0" fontId="63" fillId="18" borderId="0" applyNumberFormat="0" applyBorder="0" applyAlignment="0" applyProtection="0">
      <alignment vertical="center"/>
    </xf>
    <xf numFmtId="0" fontId="64" fillId="12" borderId="0" applyNumberFormat="0" applyBorder="0" applyAlignment="0" applyProtection="0"/>
    <xf numFmtId="0" fontId="64" fillId="19" borderId="0" applyNumberFormat="0" applyBorder="0" applyAlignment="0" applyProtection="0"/>
    <xf numFmtId="0" fontId="65" fillId="19" borderId="0" applyNumberFormat="0" applyBorder="0" applyAlignment="0" applyProtection="0"/>
    <xf numFmtId="0" fontId="63" fillId="20" borderId="0" applyNumberFormat="0" applyBorder="0" applyAlignment="0" applyProtection="0">
      <alignment vertical="center"/>
    </xf>
    <xf numFmtId="0" fontId="64" fillId="11" borderId="0" applyNumberFormat="0" applyBorder="0" applyAlignment="0" applyProtection="0"/>
    <xf numFmtId="0" fontId="64" fillId="21" borderId="0" applyNumberFormat="0" applyBorder="0" applyAlignment="0" applyProtection="0"/>
    <xf numFmtId="0" fontId="65" fillId="21" borderId="0" applyNumberFormat="0" applyBorder="0" applyAlignment="0" applyProtection="0"/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5" fillId="24" borderId="0" applyNumberFormat="0" applyBorder="0" applyAlignment="0" applyProtection="0"/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/>
    <xf numFmtId="0" fontId="64" fillId="16" borderId="0" applyNumberFormat="0" applyBorder="0" applyAlignment="0" applyProtection="0"/>
    <xf numFmtId="0" fontId="65" fillId="27" borderId="0" applyNumberFormat="0" applyBorder="0" applyAlignment="0" applyProtection="0"/>
    <xf numFmtId="0" fontId="63" fillId="28" borderId="0" applyNumberFormat="0" applyBorder="0" applyAlignment="0" applyProtection="0">
      <alignment vertical="center"/>
    </xf>
    <xf numFmtId="0" fontId="64" fillId="8" borderId="0" applyNumberFormat="0" applyBorder="0" applyAlignment="0" applyProtection="0"/>
    <xf numFmtId="0" fontId="64" fillId="29" borderId="0" applyNumberFormat="0" applyBorder="0" applyAlignment="0" applyProtection="0"/>
    <xf numFmtId="0" fontId="65" fillId="30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1" borderId="0" applyNumberFormat="0" applyBorder="0" applyAlignment="0" applyProtection="0"/>
    <xf numFmtId="0" fontId="64" fillId="23" borderId="0" applyNumberFormat="0" applyBorder="0" applyAlignment="0" applyProtection="0"/>
    <xf numFmtId="0" fontId="64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16" borderId="0" applyNumberFormat="0" applyBorder="0" applyAlignment="0" applyProtection="0"/>
    <xf numFmtId="0" fontId="64" fillId="19" borderId="0" applyNumberFormat="0" applyBorder="0" applyAlignment="0" applyProtection="0"/>
    <xf numFmtId="0" fontId="64" fillId="21" borderId="0" applyNumberFormat="0" applyBorder="0" applyAlignment="0" applyProtection="0"/>
    <xf numFmtId="0" fontId="64" fillId="23" borderId="0" applyNumberFormat="0" applyBorder="0" applyAlignment="0" applyProtection="0"/>
    <xf numFmtId="0" fontId="64" fillId="16" borderId="0" applyNumberFormat="0" applyBorder="0" applyAlignment="0" applyProtection="0"/>
    <xf numFmtId="0" fontId="64" fillId="29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65" fillId="21" borderId="0" applyNumberFormat="0" applyBorder="0" applyAlignment="0" applyProtection="0"/>
    <xf numFmtId="0" fontId="65" fillId="24" borderId="0" applyNumberFormat="0" applyBorder="0" applyAlignment="0" applyProtection="0"/>
    <xf numFmtId="0" fontId="65" fillId="27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24" borderId="0" applyNumberFormat="0" applyBorder="0" applyAlignment="0" applyProtection="0"/>
    <xf numFmtId="0" fontId="65" fillId="27" borderId="0" applyNumberFormat="0" applyBorder="0" applyAlignment="0" applyProtection="0"/>
    <xf numFmtId="0" fontId="65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9" borderId="125" applyNumberFormat="0" applyAlignment="0" applyProtection="0"/>
    <xf numFmtId="0" fontId="58" fillId="0" borderId="128" applyNumberFormat="0" applyFill="0" applyAlignment="0" applyProtection="0"/>
    <xf numFmtId="0" fontId="20" fillId="7" borderId="121" applyNumberFormat="0" applyFont="0" applyAlignment="0" applyProtection="0"/>
    <xf numFmtId="0" fontId="54" fillId="8" borderId="125" applyNumberFormat="0" applyAlignment="0" applyProtection="0"/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1" fillId="12" borderId="0" applyNumberFormat="0" applyBorder="0" applyAlignment="0" applyProtection="0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20" fillId="0" borderId="1"/>
    <xf numFmtId="181" fontId="67" fillId="0" borderId="119"/>
    <xf numFmtId="181" fontId="67" fillId="0" borderId="119"/>
    <xf numFmtId="181" fontId="67" fillId="0" borderId="119"/>
    <xf numFmtId="181" fontId="67" fillId="0" borderId="119"/>
    <xf numFmtId="181" fontId="67" fillId="0" borderId="119"/>
    <xf numFmtId="181" fontId="67" fillId="0" borderId="119"/>
    <xf numFmtId="181" fontId="20" fillId="0" borderId="1"/>
    <xf numFmtId="181" fontId="68" fillId="0" borderId="0">
      <alignment horizontal="centerContinuous"/>
    </xf>
    <xf numFmtId="181" fontId="20" fillId="0" borderId="1"/>
    <xf numFmtId="181" fontId="20" fillId="0" borderId="1"/>
    <xf numFmtId="0" fontId="69" fillId="0" borderId="0" applyNumberFormat="0" applyFill="0" applyBorder="0" applyAlignment="0" applyProtection="0">
      <alignment vertical="top"/>
      <protection locked="0"/>
    </xf>
    <xf numFmtId="176" fontId="64" fillId="0" borderId="0" applyFont="0" applyFill="0" applyBorder="0" applyAlignment="0" applyProtection="0"/>
    <xf numFmtId="182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0" fontId="70" fillId="0" borderId="0" applyFont="0" applyFill="0" applyBorder="0" applyAlignment="0" applyProtection="0"/>
    <xf numFmtId="182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>
      <alignment vertical="top" wrapText="1"/>
      <protection locked="0"/>
    </xf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40" fontId="71" fillId="0" borderId="0" applyFont="0" applyFill="0" applyBorder="0" applyAlignment="0" applyProtection="0"/>
    <xf numFmtId="183" fontId="70" fillId="0" borderId="0" applyFont="0" applyFill="0" applyBorder="0" applyAlignment="0" applyProtection="0"/>
    <xf numFmtId="0" fontId="72" fillId="0" borderId="130"/>
    <xf numFmtId="0" fontId="62" fillId="13" borderId="0" applyNumberFormat="0" applyBorder="0" applyAlignment="0" applyProtection="0"/>
    <xf numFmtId="184" fontId="73" fillId="0" borderId="0"/>
    <xf numFmtId="184" fontId="73" fillId="0" borderId="0"/>
    <xf numFmtId="184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37" fontId="70" fillId="0" borderId="0"/>
    <xf numFmtId="0" fontId="2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4" fillId="0" borderId="0" applyAlignment="0">
      <alignment vertical="top" wrapText="1"/>
      <protection locked="0"/>
    </xf>
    <xf numFmtId="0" fontId="20" fillId="0" borderId="0"/>
    <xf numFmtId="0" fontId="20" fillId="0" borderId="0"/>
    <xf numFmtId="0" fontId="20" fillId="0" borderId="0"/>
    <xf numFmtId="39" fontId="73" fillId="0" borderId="0"/>
    <xf numFmtId="39" fontId="73" fillId="0" borderId="0"/>
    <xf numFmtId="181" fontId="73" fillId="0" borderId="0"/>
    <xf numFmtId="0" fontId="73" fillId="0" borderId="0"/>
    <xf numFmtId="0" fontId="0" fillId="0" borderId="0"/>
    <xf numFmtId="37" fontId="70" fillId="0" borderId="0"/>
    <xf numFmtId="0" fontId="0" fillId="0" borderId="0"/>
    <xf numFmtId="0" fontId="0" fillId="0" borderId="0"/>
    <xf numFmtId="184" fontId="73" fillId="0" borderId="0"/>
    <xf numFmtId="0" fontId="20" fillId="0" borderId="0"/>
    <xf numFmtId="184" fontId="73" fillId="0" borderId="0"/>
    <xf numFmtId="184" fontId="73" fillId="0" borderId="0"/>
    <xf numFmtId="184" fontId="73" fillId="0" borderId="0"/>
    <xf numFmtId="184" fontId="7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11" borderId="0" applyNumberFormat="0" applyBorder="0" applyAlignment="0" applyProtection="0"/>
    <xf numFmtId="182" fontId="3" fillId="0" borderId="73">
      <alignment horizontal="right"/>
    </xf>
    <xf numFmtId="0" fontId="55" fillId="9" borderId="126" applyNumberFormat="0" applyAlignment="0" applyProtection="0"/>
    <xf numFmtId="0" fontId="6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122" applyNumberFormat="0" applyFill="0" applyAlignment="0" applyProtection="0"/>
    <xf numFmtId="0" fontId="52" fillId="0" borderId="123" applyNumberFormat="0" applyFill="0" applyAlignment="0" applyProtection="0"/>
    <xf numFmtId="0" fontId="53" fillId="0" borderId="124" applyNumberFormat="0" applyFill="0" applyAlignment="0" applyProtection="0"/>
    <xf numFmtId="0" fontId="74" fillId="0" borderId="0" applyNumberFormat="0" applyFill="0" applyBorder="0" applyAlignment="0" applyProtection="0"/>
    <xf numFmtId="0" fontId="17" fillId="0" borderId="129" applyNumberFormat="0" applyFill="0" applyAlignment="0" applyProtection="0"/>
    <xf numFmtId="0" fontId="57" fillId="10" borderId="127" applyNumberFormat="0" applyAlignment="0" applyProtection="0"/>
    <xf numFmtId="2" fontId="20" fillId="0" borderId="0" applyFill="0" applyBorder="0" applyAlignment="0" applyProtection="0"/>
  </cellStyleXfs>
  <cellXfs count="5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185" fontId="2" fillId="0" borderId="0" xfId="1" applyNumberFormat="1" applyFont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Font="1" applyBorder="1" applyAlignment="1"/>
    <xf numFmtId="2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 wrapText="1"/>
    </xf>
    <xf numFmtId="2" fontId="6" fillId="0" borderId="6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 wrapText="1"/>
    </xf>
    <xf numFmtId="2" fontId="6" fillId="0" borderId="8" xfId="0" applyNumberFormat="1" applyFont="1" applyFill="1" applyBorder="1" applyAlignment="1">
      <alignment horizontal="center" vertical="center" textRotation="90" wrapText="1"/>
    </xf>
    <xf numFmtId="186" fontId="7" fillId="0" borderId="9" xfId="0" applyNumberFormat="1" applyFont="1" applyFill="1" applyBorder="1" applyAlignment="1">
      <alignment vertical="center"/>
    </xf>
    <xf numFmtId="186" fontId="7" fillId="0" borderId="10" xfId="0" applyNumberFormat="1" applyFont="1" applyFill="1" applyBorder="1" applyAlignment="1">
      <alignment vertical="center"/>
    </xf>
    <xf numFmtId="186" fontId="7" fillId="0" borderId="11" xfId="0" applyNumberFormat="1" applyFont="1" applyFill="1" applyBorder="1" applyAlignment="1">
      <alignment vertical="center"/>
    </xf>
    <xf numFmtId="186" fontId="8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9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vertical="top"/>
    </xf>
    <xf numFmtId="185" fontId="3" fillId="0" borderId="2" xfId="1" applyNumberFormat="1" applyFont="1" applyBorder="1" applyAlignment="1">
      <alignment horizontal="left"/>
    </xf>
    <xf numFmtId="0" fontId="0" fillId="0" borderId="2" xfId="0" applyBorder="1" applyAlignment="1"/>
    <xf numFmtId="176" fontId="3" fillId="0" borderId="2" xfId="1" applyNumberFormat="1" applyFont="1" applyBorder="1" applyAlignment="1"/>
    <xf numFmtId="0" fontId="4" fillId="0" borderId="0" xfId="0" applyFont="1" applyBorder="1" applyAlignment="1">
      <alignment horizontal="left" vertical="top"/>
    </xf>
    <xf numFmtId="185" fontId="3" fillId="0" borderId="23" xfId="1" applyNumberFormat="1" applyFont="1" applyBorder="1" applyAlignment="1">
      <alignment horizontal="center"/>
    </xf>
    <xf numFmtId="0" fontId="0" fillId="0" borderId="0" xfId="0" applyBorder="1"/>
    <xf numFmtId="176" fontId="3" fillId="0" borderId="0" xfId="1" applyNumberFormat="1" applyFont="1" applyBorder="1" applyAlignment="1"/>
    <xf numFmtId="185" fontId="3" fillId="0" borderId="25" xfId="1" applyNumberFormat="1" applyFont="1" applyFill="1" applyBorder="1" applyAlignment="1">
      <alignment horizontal="center" vertical="center"/>
    </xf>
    <xf numFmtId="185" fontId="3" fillId="0" borderId="26" xfId="1" applyNumberFormat="1" applyFont="1" applyFill="1" applyBorder="1" applyAlignment="1">
      <alignment horizontal="center" vertical="center"/>
    </xf>
    <xf numFmtId="187" fontId="10" fillId="0" borderId="27" xfId="1" applyNumberFormat="1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185" fontId="1" fillId="0" borderId="28" xfId="1" applyNumberFormat="1" applyFont="1" applyFill="1" applyBorder="1" applyAlignment="1">
      <alignment horizontal="center"/>
    </xf>
    <xf numFmtId="185" fontId="11" fillId="0" borderId="29" xfId="1" applyNumberFormat="1" applyFont="1" applyFill="1" applyBorder="1" applyAlignment="1">
      <alignment horizontal="center"/>
    </xf>
    <xf numFmtId="185" fontId="1" fillId="0" borderId="29" xfId="1" applyNumberFormat="1" applyFont="1" applyFill="1" applyBorder="1" applyAlignment="1">
      <alignment horizontal="center"/>
    </xf>
    <xf numFmtId="176" fontId="12" fillId="0" borderId="28" xfId="1" applyNumberFormat="1" applyFont="1" applyFill="1" applyBorder="1" applyAlignment="1">
      <alignment horizontal="center"/>
    </xf>
    <xf numFmtId="0" fontId="1" fillId="0" borderId="30" xfId="0" applyFont="1" applyFill="1" applyBorder="1"/>
    <xf numFmtId="176" fontId="1" fillId="0" borderId="30" xfId="1" applyNumberFormat="1" applyFont="1" applyFill="1" applyBorder="1" applyAlignment="1">
      <alignment vertical="center"/>
    </xf>
    <xf numFmtId="0" fontId="1" fillId="0" borderId="0" xfId="0" applyFont="1" applyFill="1" applyBorder="1"/>
    <xf numFmtId="176" fontId="1" fillId="0" borderId="0" xfId="1" applyNumberFormat="1" applyFont="1" applyFill="1" applyBorder="1" applyAlignment="1">
      <alignment vertical="center"/>
    </xf>
    <xf numFmtId="185" fontId="2" fillId="0" borderId="0" xfId="1" applyNumberFormat="1" applyFont="1" applyFill="1" applyBorder="1" applyAlignment="1">
      <alignment horizontal="center"/>
    </xf>
    <xf numFmtId="0" fontId="0" fillId="0" borderId="2" xfId="0" applyBorder="1"/>
    <xf numFmtId="0" fontId="0" fillId="0" borderId="31" xfId="0" applyBorder="1"/>
    <xf numFmtId="0" fontId="0" fillId="0" borderId="32" xfId="0" applyBorder="1"/>
    <xf numFmtId="185" fontId="3" fillId="0" borderId="33" xfId="1" applyNumberFormat="1" applyFont="1" applyFill="1" applyBorder="1" applyAlignment="1">
      <alignment horizontal="center" vertical="center"/>
    </xf>
    <xf numFmtId="187" fontId="10" fillId="0" borderId="34" xfId="1" applyNumberFormat="1" applyFont="1" applyFill="1" applyBorder="1" applyAlignment="1">
      <alignment horizontal="center" vertical="center"/>
    </xf>
    <xf numFmtId="176" fontId="2" fillId="0" borderId="35" xfId="1" applyNumberFormat="1" applyFont="1" applyFill="1" applyBorder="1" applyAlignment="1">
      <alignment horizontal="center" vertical="center"/>
    </xf>
    <xf numFmtId="185" fontId="1" fillId="0" borderId="36" xfId="1" applyNumberFormat="1" applyFont="1" applyFill="1" applyBorder="1" applyAlignment="1">
      <alignment horizontal="center"/>
    </xf>
    <xf numFmtId="0" fontId="0" fillId="0" borderId="0" xfId="0" applyFill="1"/>
    <xf numFmtId="176" fontId="12" fillId="0" borderId="37" xfId="1" applyNumberFormat="1" applyFont="1" applyFill="1" applyBorder="1" applyAlignment="1">
      <alignment horizontal="center"/>
    </xf>
    <xf numFmtId="176" fontId="1" fillId="0" borderId="13" xfId="1" applyFont="1" applyFill="1" applyBorder="1"/>
    <xf numFmtId="0" fontId="1" fillId="0" borderId="0" xfId="0" applyFont="1" applyFill="1"/>
    <xf numFmtId="176" fontId="1" fillId="0" borderId="21" xfId="1" applyFont="1" applyFill="1" applyBorder="1"/>
    <xf numFmtId="0" fontId="0" fillId="0" borderId="0" xfId="0" applyFill="1" applyBorder="1"/>
    <xf numFmtId="0" fontId="0" fillId="0" borderId="21" xfId="0" applyFill="1" applyBorder="1"/>
    <xf numFmtId="176" fontId="13" fillId="0" borderId="0" xfId="0" applyNumberFormat="1" applyFont="1" applyFill="1"/>
    <xf numFmtId="2" fontId="14" fillId="0" borderId="15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76" fontId="1" fillId="0" borderId="2" xfId="1" applyNumberFormat="1" applyFont="1" applyFill="1" applyBorder="1" applyAlignment="1">
      <alignment vertical="center"/>
    </xf>
    <xf numFmtId="0" fontId="1" fillId="0" borderId="25" xfId="0" applyFont="1" applyFill="1" applyBorder="1"/>
    <xf numFmtId="176" fontId="1" fillId="0" borderId="26" xfId="1" applyNumberFormat="1" applyFont="1" applyFill="1" applyBorder="1" applyAlignment="1">
      <alignment vertical="center"/>
    </xf>
    <xf numFmtId="0" fontId="1" fillId="0" borderId="26" xfId="0" applyFont="1" applyFill="1" applyBorder="1"/>
    <xf numFmtId="176" fontId="1" fillId="0" borderId="38" xfId="1" applyFont="1" applyFill="1" applyBorder="1"/>
    <xf numFmtId="2" fontId="2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textRotation="90"/>
    </xf>
    <xf numFmtId="0" fontId="5" fillId="0" borderId="40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 wrapText="1"/>
    </xf>
    <xf numFmtId="2" fontId="6" fillId="0" borderId="41" xfId="0" applyNumberFormat="1" applyFont="1" applyFill="1" applyBorder="1" applyAlignment="1">
      <alignment horizontal="center" vertical="center" textRotation="90" wrapText="1"/>
    </xf>
    <xf numFmtId="0" fontId="3" fillId="0" borderId="42" xfId="0" applyFont="1" applyFill="1" applyBorder="1" applyAlignment="1">
      <alignment horizontal="center" vertical="center" wrapText="1"/>
    </xf>
    <xf numFmtId="186" fontId="3" fillId="0" borderId="43" xfId="0" applyNumberFormat="1" applyFont="1" applyFill="1" applyBorder="1" applyAlignment="1">
      <alignment vertical="center"/>
    </xf>
    <xf numFmtId="186" fontId="3" fillId="0" borderId="10" xfId="0" applyNumberFormat="1" applyFont="1" applyFill="1" applyBorder="1" applyAlignment="1">
      <alignment vertical="center"/>
    </xf>
    <xf numFmtId="186" fontId="3" fillId="0" borderId="11" xfId="0" applyNumberFormat="1" applyFont="1" applyFill="1" applyBorder="1" applyAlignment="1">
      <alignment vertical="center"/>
    </xf>
    <xf numFmtId="186" fontId="15" fillId="0" borderId="44" xfId="0" applyNumberFormat="1" applyFont="1" applyFill="1" applyBorder="1" applyAlignment="1">
      <alignment horizontal="center" vertical="center"/>
    </xf>
    <xf numFmtId="2" fontId="5" fillId="0" borderId="45" xfId="0" applyNumberFormat="1" applyFont="1" applyFill="1" applyBorder="1" applyAlignment="1">
      <alignment horizontal="center" vertical="center"/>
    </xf>
    <xf numFmtId="2" fontId="5" fillId="0" borderId="43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6" fillId="0" borderId="43" xfId="0" applyFont="1" applyFill="1" applyBorder="1"/>
    <xf numFmtId="0" fontId="3" fillId="0" borderId="4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/>
    </xf>
    <xf numFmtId="185" fontId="3" fillId="0" borderId="2" xfId="1" applyNumberFormat="1" applyFont="1" applyFill="1" applyBorder="1" applyAlignment="1">
      <alignment horizontal="left"/>
    </xf>
    <xf numFmtId="0" fontId="16" fillId="0" borderId="2" xfId="0" applyFont="1" applyFill="1" applyBorder="1" applyAlignment="1"/>
    <xf numFmtId="176" fontId="3" fillId="0" borderId="2" xfId="1" applyNumberFormat="1" applyFont="1" applyFill="1" applyBorder="1" applyAlignment="1"/>
    <xf numFmtId="0" fontId="4" fillId="0" borderId="0" xfId="0" applyFont="1" applyFill="1" applyBorder="1" applyAlignment="1">
      <alignment horizontal="left" vertical="top"/>
    </xf>
    <xf numFmtId="185" fontId="3" fillId="0" borderId="0" xfId="1" applyNumberFormat="1" applyFont="1" applyFill="1" applyBorder="1" applyAlignment="1">
      <alignment horizontal="center"/>
    </xf>
    <xf numFmtId="0" fontId="16" fillId="0" borderId="0" xfId="0" applyFont="1" applyFill="1" applyBorder="1"/>
    <xf numFmtId="176" fontId="3" fillId="0" borderId="0" xfId="1" applyNumberFormat="1" applyFont="1" applyFill="1" applyBorder="1" applyAlignment="1"/>
    <xf numFmtId="185" fontId="3" fillId="0" borderId="49" xfId="1" applyNumberFormat="1" applyFont="1" applyFill="1" applyBorder="1" applyAlignment="1">
      <alignment horizontal="center" vertical="center"/>
    </xf>
    <xf numFmtId="185" fontId="3" fillId="0" borderId="50" xfId="1" applyNumberFormat="1" applyFont="1" applyFill="1" applyBorder="1" applyAlignment="1">
      <alignment horizontal="center" vertical="center"/>
    </xf>
    <xf numFmtId="0" fontId="16" fillId="0" borderId="2" xfId="0" applyFont="1" applyFill="1" applyBorder="1"/>
    <xf numFmtId="0" fontId="16" fillId="0" borderId="31" xfId="0" applyFont="1" applyFill="1" applyBorder="1"/>
    <xf numFmtId="0" fontId="16" fillId="0" borderId="32" xfId="0" applyFont="1" applyFill="1" applyBorder="1"/>
    <xf numFmtId="185" fontId="3" fillId="0" borderId="51" xfId="1" applyNumberFormat="1" applyFont="1" applyFill="1" applyBorder="1" applyAlignment="1">
      <alignment horizontal="center" vertical="center"/>
    </xf>
    <xf numFmtId="187" fontId="10" fillId="0" borderId="52" xfId="1" applyNumberFormat="1" applyFont="1" applyFill="1" applyBorder="1" applyAlignment="1">
      <alignment horizontal="center" vertical="center"/>
    </xf>
    <xf numFmtId="176" fontId="2" fillId="0" borderId="53" xfId="1" applyNumberFormat="1" applyFont="1" applyFill="1" applyBorder="1" applyAlignment="1">
      <alignment horizontal="center" vertical="center"/>
    </xf>
    <xf numFmtId="185" fontId="1" fillId="0" borderId="54" xfId="1" applyNumberFormat="1" applyFont="1" applyFill="1" applyBorder="1" applyAlignment="1">
      <alignment horizontal="center"/>
    </xf>
    <xf numFmtId="176" fontId="12" fillId="0" borderId="55" xfId="1" applyNumberFormat="1" applyFont="1" applyFill="1" applyBorder="1" applyAlignment="1">
      <alignment horizontal="center"/>
    </xf>
    <xf numFmtId="176" fontId="1" fillId="0" borderId="56" xfId="1" applyFont="1" applyFill="1" applyBorder="1"/>
    <xf numFmtId="176" fontId="1" fillId="2" borderId="0" xfId="0" applyNumberFormat="1" applyFont="1" applyFill="1"/>
    <xf numFmtId="176" fontId="1" fillId="0" borderId="57" xfId="1" applyFont="1" applyFill="1" applyBorder="1"/>
    <xf numFmtId="0" fontId="16" fillId="0" borderId="57" xfId="0" applyFont="1" applyFill="1" applyBorder="1"/>
    <xf numFmtId="185" fontId="3" fillId="0" borderId="58" xfId="1" applyNumberFormat="1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176" fontId="1" fillId="0" borderId="62" xfId="0" applyNumberFormat="1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176" fontId="1" fillId="0" borderId="64" xfId="1" applyFont="1" applyFill="1" applyBorder="1"/>
    <xf numFmtId="0" fontId="1" fillId="0" borderId="6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3" fillId="0" borderId="60" xfId="0" applyFont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0" fontId="4" fillId="0" borderId="60" xfId="0" applyFont="1" applyBorder="1" applyAlignment="1">
      <alignment horizontal="left"/>
    </xf>
    <xf numFmtId="2" fontId="2" fillId="0" borderId="60" xfId="0" applyNumberFormat="1" applyFont="1" applyBorder="1" applyAlignment="1">
      <alignment horizontal="center"/>
    </xf>
    <xf numFmtId="186" fontId="7" fillId="0" borderId="43" xfId="0" applyNumberFormat="1" applyFont="1" applyFill="1" applyBorder="1" applyAlignment="1">
      <alignment vertical="center"/>
    </xf>
    <xf numFmtId="186" fontId="8" fillId="0" borderId="44" xfId="0" applyNumberFormat="1" applyFont="1" applyFill="1" applyBorder="1" applyAlignment="1">
      <alignment horizontal="center" vertical="center"/>
    </xf>
    <xf numFmtId="2" fontId="9" fillId="0" borderId="45" xfId="0" applyNumberFormat="1" applyFont="1" applyFill="1" applyBorder="1" applyAlignment="1">
      <alignment horizontal="center" vertical="center"/>
    </xf>
    <xf numFmtId="2" fontId="9" fillId="0" borderId="43" xfId="0" applyNumberFormat="1" applyFont="1" applyFill="1" applyBorder="1" applyAlignment="1">
      <alignment horizontal="center" vertical="center"/>
    </xf>
    <xf numFmtId="0" fontId="0" fillId="0" borderId="43" xfId="0" applyFill="1" applyBorder="1"/>
    <xf numFmtId="0" fontId="1" fillId="0" borderId="6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4" fillId="0" borderId="0" xfId="0" applyFont="1" applyBorder="1" applyAlignment="1">
      <alignment vertical="top"/>
    </xf>
    <xf numFmtId="185" fontId="3" fillId="0" borderId="0" xfId="1" applyNumberFormat="1" applyFont="1" applyBorder="1" applyAlignment="1">
      <alignment horizontal="left"/>
    </xf>
    <xf numFmtId="0" fontId="0" fillId="0" borderId="0" xfId="0" applyBorder="1" applyAlignment="1"/>
    <xf numFmtId="0" fontId="4" fillId="0" borderId="60" xfId="0" applyFont="1" applyBorder="1" applyAlignment="1">
      <alignment horizontal="left" vertical="top"/>
    </xf>
    <xf numFmtId="185" fontId="3" fillId="0" borderId="60" xfId="1" applyNumberFormat="1" applyFont="1" applyBorder="1" applyAlignment="1">
      <alignment horizontal="center"/>
    </xf>
    <xf numFmtId="0" fontId="0" fillId="0" borderId="60" xfId="0" applyBorder="1"/>
    <xf numFmtId="176" fontId="3" fillId="0" borderId="60" xfId="1" applyNumberFormat="1" applyFont="1" applyBorder="1" applyAlignment="1"/>
    <xf numFmtId="185" fontId="2" fillId="0" borderId="63" xfId="1" applyNumberFormat="1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176" fontId="0" fillId="0" borderId="57" xfId="0" applyNumberFormat="1" applyFill="1" applyBorder="1"/>
    <xf numFmtId="0" fontId="0" fillId="0" borderId="57" xfId="0" applyFill="1" applyBorder="1"/>
    <xf numFmtId="176" fontId="1" fillId="0" borderId="0" xfId="0" applyNumberFormat="1" applyFont="1" applyFill="1"/>
    <xf numFmtId="0" fontId="0" fillId="0" borderId="63" xfId="0" applyFill="1" applyBorder="1"/>
    <xf numFmtId="176" fontId="17" fillId="0" borderId="65" xfId="0" applyNumberFormat="1" applyFont="1" applyFill="1" applyBorder="1" applyAlignment="1">
      <alignment horizontal="center"/>
    </xf>
    <xf numFmtId="185" fontId="3" fillId="0" borderId="0" xfId="1" applyNumberFormat="1" applyFont="1" applyBorder="1" applyAlignment="1">
      <alignment horizontal="center"/>
    </xf>
    <xf numFmtId="176" fontId="0" fillId="3" borderId="0" xfId="0" applyNumberFormat="1" applyFill="1"/>
    <xf numFmtId="2" fontId="0" fillId="0" borderId="0" xfId="0" applyNumberForma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" fillId="0" borderId="68" xfId="0" applyFont="1" applyFill="1" applyBorder="1"/>
    <xf numFmtId="176" fontId="1" fillId="0" borderId="68" xfId="1" applyNumberFormat="1" applyFont="1" applyFill="1" applyBorder="1" applyAlignment="1">
      <alignment vertical="center"/>
    </xf>
    <xf numFmtId="176" fontId="1" fillId="0" borderId="69" xfId="1" applyFont="1" applyFill="1" applyBorder="1"/>
    <xf numFmtId="0" fontId="0" fillId="0" borderId="2" xfId="0" applyFill="1" applyBorder="1" applyAlignment="1"/>
    <xf numFmtId="0" fontId="0" fillId="0" borderId="2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67" xfId="0" applyFill="1" applyBorder="1"/>
    <xf numFmtId="176" fontId="1" fillId="0" borderId="62" xfId="1" applyFont="1" applyFill="1" applyBorder="1" applyAlignment="1">
      <alignment horizontal="center"/>
    </xf>
    <xf numFmtId="176" fontId="1" fillId="0" borderId="63" xfId="1" applyFont="1" applyFill="1" applyBorder="1" applyAlignment="1">
      <alignment horizontal="center"/>
    </xf>
    <xf numFmtId="176" fontId="1" fillId="0" borderId="65" xfId="1" applyFont="1" applyFill="1" applyBorder="1" applyAlignment="1">
      <alignment horizontal="center"/>
    </xf>
    <xf numFmtId="0" fontId="3" fillId="0" borderId="60" xfId="0" applyFont="1" applyFill="1" applyBorder="1" applyAlignment="1">
      <alignment horizontal="left"/>
    </xf>
    <xf numFmtId="2" fontId="2" fillId="0" borderId="6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185" fontId="3" fillId="0" borderId="0" xfId="1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4" fillId="0" borderId="60" xfId="0" applyFont="1" applyFill="1" applyBorder="1" applyAlignment="1">
      <alignment horizontal="left" vertical="top"/>
    </xf>
    <xf numFmtId="185" fontId="3" fillId="0" borderId="60" xfId="1" applyNumberFormat="1" applyFont="1" applyFill="1" applyBorder="1" applyAlignment="1">
      <alignment horizontal="center"/>
    </xf>
    <xf numFmtId="0" fontId="0" fillId="0" borderId="60" xfId="0" applyFill="1" applyBorder="1"/>
    <xf numFmtId="176" fontId="3" fillId="0" borderId="60" xfId="1" applyNumberFormat="1" applyFont="1" applyFill="1" applyBorder="1" applyAlignment="1"/>
    <xf numFmtId="176" fontId="1" fillId="0" borderId="70" xfId="1" applyFont="1" applyFill="1" applyBorder="1" applyAlignment="1">
      <alignment horizontal="left"/>
    </xf>
    <xf numFmtId="176" fontId="1" fillId="0" borderId="71" xfId="1" applyFont="1" applyFill="1" applyBorder="1" applyAlignment="1">
      <alignment horizontal="left"/>
    </xf>
    <xf numFmtId="176" fontId="1" fillId="3" borderId="0" xfId="0" applyNumberFormat="1" applyFont="1" applyFill="1"/>
    <xf numFmtId="176" fontId="1" fillId="0" borderId="72" xfId="1" applyFont="1" applyFill="1" applyBorder="1" applyAlignment="1">
      <alignment horizontal="left"/>
    </xf>
    <xf numFmtId="0" fontId="18" fillId="0" borderId="0" xfId="156" applyFont="1" applyAlignment="1">
      <alignment vertical="center"/>
    </xf>
    <xf numFmtId="0" fontId="19" fillId="0" borderId="0" xfId="156" applyFont="1" applyAlignment="1">
      <alignment vertical="center"/>
    </xf>
    <xf numFmtId="0" fontId="20" fillId="0" borderId="0" xfId="156" applyFill="1" applyAlignment="1">
      <alignment vertical="center"/>
    </xf>
    <xf numFmtId="0" fontId="20" fillId="0" borderId="0" xfId="156" applyAlignment="1">
      <alignment vertical="center"/>
    </xf>
    <xf numFmtId="0" fontId="20" fillId="0" borderId="0" xfId="156" applyAlignment="1">
      <alignment horizontal="center" vertical="center"/>
    </xf>
    <xf numFmtId="2" fontId="20" fillId="0" borderId="0" xfId="156" applyNumberFormat="1" applyAlignment="1">
      <alignment horizontal="center" vertical="center"/>
    </xf>
    <xf numFmtId="9" fontId="0" fillId="0" borderId="0" xfId="162" applyFont="1" applyAlignment="1">
      <alignment horizontal="center" vertical="center"/>
    </xf>
    <xf numFmtId="176" fontId="20" fillId="0" borderId="0" xfId="156" applyNumberFormat="1" applyAlignment="1">
      <alignment horizontal="center" vertical="center"/>
    </xf>
    <xf numFmtId="176" fontId="21" fillId="0" borderId="0" xfId="156" applyNumberFormat="1" applyFont="1" applyAlignment="1">
      <alignment vertical="center"/>
    </xf>
    <xf numFmtId="0" fontId="20" fillId="0" borderId="73" xfId="156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74" xfId="156" applyFont="1" applyFill="1" applyBorder="1" applyAlignment="1">
      <alignment horizontal="center" vertical="center"/>
    </xf>
    <xf numFmtId="0" fontId="23" fillId="0" borderId="71" xfId="156" applyFont="1" applyFill="1" applyBorder="1" applyAlignment="1">
      <alignment horizontal="center" vertical="center"/>
    </xf>
    <xf numFmtId="0" fontId="23" fillId="0" borderId="75" xfId="156" applyFont="1" applyFill="1" applyBorder="1" applyAlignment="1">
      <alignment horizontal="center" vertical="center"/>
    </xf>
    <xf numFmtId="179" fontId="10" fillId="0" borderId="76" xfId="80" applyNumberFormat="1" applyFont="1" applyFill="1" applyBorder="1" applyAlignment="1">
      <alignment horizontal="center" vertical="center"/>
    </xf>
    <xf numFmtId="176" fontId="10" fillId="0" borderId="76" xfId="106" applyFont="1" applyFill="1" applyBorder="1" applyAlignment="1">
      <alignment horizontal="center" vertical="center"/>
    </xf>
    <xf numFmtId="2" fontId="10" fillId="0" borderId="76" xfId="106" applyNumberFormat="1" applyFont="1" applyFill="1" applyBorder="1" applyAlignment="1">
      <alignment horizontal="center" vertical="center"/>
    </xf>
    <xf numFmtId="9" fontId="10" fillId="0" borderId="76" xfId="162" applyFont="1" applyFill="1" applyBorder="1" applyAlignment="1">
      <alignment horizontal="center" vertical="center"/>
    </xf>
    <xf numFmtId="176" fontId="10" fillId="0" borderId="76" xfId="106" applyNumberFormat="1" applyFont="1" applyFill="1" applyBorder="1" applyAlignment="1">
      <alignment horizontal="center" vertical="center"/>
    </xf>
    <xf numFmtId="0" fontId="24" fillId="0" borderId="74" xfId="106" applyNumberFormat="1" applyFont="1" applyFill="1" applyBorder="1" applyAlignment="1">
      <alignment horizontal="center" vertical="center"/>
    </xf>
    <xf numFmtId="0" fontId="18" fillId="0" borderId="77" xfId="156" applyFont="1" applyFill="1" applyBorder="1" applyAlignment="1">
      <alignment vertical="center"/>
    </xf>
    <xf numFmtId="0" fontId="18" fillId="0" borderId="73" xfId="156" applyFont="1" applyFill="1" applyBorder="1" applyAlignment="1">
      <alignment horizontal="center" vertical="center"/>
    </xf>
    <xf numFmtId="2" fontId="25" fillId="0" borderId="73" xfId="156" applyNumberFormat="1" applyFont="1" applyFill="1" applyBorder="1" applyAlignment="1">
      <alignment horizontal="center" vertical="center"/>
    </xf>
    <xf numFmtId="9" fontId="18" fillId="0" borderId="73" xfId="162" applyFont="1" applyFill="1" applyBorder="1" applyAlignment="1">
      <alignment horizontal="center" vertical="center"/>
    </xf>
    <xf numFmtId="2" fontId="4" fillId="0" borderId="73" xfId="156" applyNumberFormat="1" applyFont="1" applyFill="1" applyBorder="1" applyAlignment="1">
      <alignment horizontal="center" vertical="center"/>
    </xf>
    <xf numFmtId="176" fontId="21" fillId="0" borderId="73" xfId="156" applyNumberFormat="1" applyFont="1" applyFill="1" applyBorder="1" applyAlignment="1">
      <alignment vertical="center"/>
    </xf>
    <xf numFmtId="0" fontId="4" fillId="0" borderId="77" xfId="156" applyFont="1" applyFill="1" applyBorder="1" applyAlignment="1">
      <alignment vertical="center"/>
    </xf>
    <xf numFmtId="0" fontId="19" fillId="0" borderId="77" xfId="156" applyFont="1" applyFill="1" applyBorder="1" applyAlignment="1">
      <alignment vertical="center"/>
    </xf>
    <xf numFmtId="2" fontId="19" fillId="0" borderId="73" xfId="156" applyNumberFormat="1" applyFont="1" applyFill="1" applyBorder="1" applyAlignment="1">
      <alignment horizontal="center" vertical="center"/>
    </xf>
    <xf numFmtId="9" fontId="19" fillId="0" borderId="73" xfId="162" applyFont="1" applyFill="1" applyBorder="1" applyAlignment="1">
      <alignment horizontal="center" vertical="center"/>
    </xf>
    <xf numFmtId="2" fontId="26" fillId="0" borderId="73" xfId="156" applyNumberFormat="1" applyFont="1" applyFill="1" applyBorder="1" applyAlignment="1">
      <alignment horizontal="center" vertical="center"/>
    </xf>
    <xf numFmtId="0" fontId="18" fillId="0" borderId="73" xfId="156" applyFont="1" applyFill="1" applyBorder="1" applyAlignment="1">
      <alignment vertical="center"/>
    </xf>
    <xf numFmtId="176" fontId="21" fillId="0" borderId="3" xfId="156" applyNumberFormat="1" applyFont="1" applyFill="1" applyBorder="1" applyAlignment="1">
      <alignment vertical="center"/>
    </xf>
    <xf numFmtId="0" fontId="27" fillId="0" borderId="3" xfId="156" applyFont="1" applyFill="1" applyBorder="1" applyAlignment="1">
      <alignment horizontal="center" vertical="center"/>
    </xf>
    <xf numFmtId="0" fontId="18" fillId="0" borderId="77" xfId="156" applyFont="1" applyFill="1" applyBorder="1" applyAlignment="1">
      <alignment horizontal="center" vertical="center"/>
    </xf>
    <xf numFmtId="180" fontId="25" fillId="0" borderId="73" xfId="156" applyNumberFormat="1" applyFont="1" applyFill="1" applyBorder="1" applyAlignment="1">
      <alignment horizontal="center" vertical="center"/>
    </xf>
    <xf numFmtId="0" fontId="18" fillId="0" borderId="0" xfId="156" applyFont="1" applyFill="1" applyBorder="1" applyAlignment="1">
      <alignment vertical="center"/>
    </xf>
    <xf numFmtId="2" fontId="28" fillId="0" borderId="3" xfId="156" applyNumberFormat="1" applyFont="1" applyFill="1" applyBorder="1" applyAlignment="1">
      <alignment horizontal="center" vertical="center"/>
    </xf>
    <xf numFmtId="2" fontId="25" fillId="0" borderId="3" xfId="156" applyNumberFormat="1" applyFont="1" applyFill="1" applyBorder="1" applyAlignment="1">
      <alignment horizontal="center" vertical="center"/>
    </xf>
    <xf numFmtId="2" fontId="25" fillId="0" borderId="32" xfId="156" applyNumberFormat="1" applyFont="1" applyFill="1" applyBorder="1" applyAlignment="1">
      <alignment horizontal="center" vertical="center"/>
    </xf>
    <xf numFmtId="0" fontId="29" fillId="0" borderId="78" xfId="156" applyFont="1" applyFill="1" applyBorder="1" applyAlignment="1">
      <alignment vertical="center"/>
    </xf>
    <xf numFmtId="0" fontId="10" fillId="0" borderId="78" xfId="106" applyNumberFormat="1" applyFont="1" applyFill="1" applyBorder="1" applyAlignment="1">
      <alignment horizontal="center" vertical="center"/>
    </xf>
    <xf numFmtId="0" fontId="27" fillId="0" borderId="57" xfId="156" applyFont="1" applyFill="1" applyBorder="1" applyAlignment="1">
      <alignment horizontal="center" vertical="center"/>
    </xf>
    <xf numFmtId="0" fontId="26" fillId="0" borderId="57" xfId="156" applyFont="1" applyFill="1" applyBorder="1" applyAlignment="1">
      <alignment horizontal="center" vertical="center"/>
    </xf>
    <xf numFmtId="0" fontId="19" fillId="0" borderId="0" xfId="156" applyFont="1" applyAlignment="1">
      <alignment horizontal="center" vertical="center"/>
    </xf>
    <xf numFmtId="0" fontId="18" fillId="0" borderId="57" xfId="156" applyFont="1" applyFill="1" applyBorder="1" applyAlignment="1">
      <alignment vertical="center"/>
    </xf>
    <xf numFmtId="0" fontId="18" fillId="0" borderId="0" xfId="156" applyFont="1" applyAlignment="1">
      <alignment horizontal="center" vertical="center"/>
    </xf>
    <xf numFmtId="2" fontId="18" fillId="0" borderId="0" xfId="156" applyNumberFormat="1" applyFont="1" applyAlignment="1">
      <alignment horizontal="center" vertical="center"/>
    </xf>
    <xf numFmtId="0" fontId="4" fillId="0" borderId="0" xfId="156" applyFont="1" applyAlignment="1">
      <alignment horizontal="center" vertical="center"/>
    </xf>
    <xf numFmtId="0" fontId="27" fillId="0" borderId="79" xfId="156" applyFont="1" applyFill="1" applyBorder="1" applyAlignment="1">
      <alignment horizontal="center" vertical="center"/>
    </xf>
    <xf numFmtId="0" fontId="4" fillId="0" borderId="57" xfId="156" applyFont="1" applyFill="1" applyBorder="1" applyAlignment="1">
      <alignment vertical="center"/>
    </xf>
    <xf numFmtId="0" fontId="4" fillId="0" borderId="79" xfId="156" applyFont="1" applyFill="1" applyBorder="1" applyAlignment="1">
      <alignment vertical="center"/>
    </xf>
    <xf numFmtId="180" fontId="4" fillId="0" borderId="0" xfId="156" applyNumberFormat="1" applyFont="1" applyAlignment="1">
      <alignment vertical="center"/>
    </xf>
    <xf numFmtId="180" fontId="18" fillId="0" borderId="0" xfId="156" applyNumberFormat="1" applyFont="1" applyAlignment="1">
      <alignment vertical="center"/>
    </xf>
    <xf numFmtId="180" fontId="18" fillId="0" borderId="0" xfId="156" applyNumberFormat="1" applyFont="1" applyAlignment="1">
      <alignment horizontal="center" vertical="center"/>
    </xf>
    <xf numFmtId="0" fontId="4" fillId="0" borderId="73" xfId="156" applyFont="1" applyFill="1" applyBorder="1" applyAlignment="1">
      <alignment horizontal="center" vertical="center"/>
    </xf>
    <xf numFmtId="0" fontId="18" fillId="0" borderId="43" xfId="156" applyFont="1" applyFill="1" applyBorder="1" applyAlignment="1">
      <alignment vertical="center"/>
    </xf>
    <xf numFmtId="0" fontId="20" fillId="0" borderId="0" xfId="156" applyFill="1" applyBorder="1" applyAlignment="1">
      <alignment vertical="center"/>
    </xf>
    <xf numFmtId="0" fontId="10" fillId="0" borderId="57" xfId="156" applyFont="1" applyFill="1" applyBorder="1" applyAlignment="1">
      <alignment vertical="center"/>
    </xf>
    <xf numFmtId="0" fontId="18" fillId="0" borderId="80" xfId="156" applyFont="1" applyFill="1" applyBorder="1" applyAlignment="1">
      <alignment vertical="center"/>
    </xf>
    <xf numFmtId="0" fontId="18" fillId="0" borderId="81" xfId="156" applyFont="1" applyFill="1" applyBorder="1" applyAlignment="1">
      <alignment horizontal="center" vertical="center"/>
    </xf>
    <xf numFmtId="2" fontId="25" fillId="0" borderId="81" xfId="156" applyNumberFormat="1" applyFont="1" applyFill="1" applyBorder="1" applyAlignment="1">
      <alignment horizontal="center" vertical="center"/>
    </xf>
    <xf numFmtId="9" fontId="18" fillId="0" borderId="81" xfId="162" applyFont="1" applyFill="1" applyBorder="1" applyAlignment="1">
      <alignment horizontal="center" vertical="center"/>
    </xf>
    <xf numFmtId="2" fontId="4" fillId="0" borderId="81" xfId="156" applyNumberFormat="1" applyFont="1" applyFill="1" applyBorder="1" applyAlignment="1">
      <alignment horizontal="center" vertical="center"/>
    </xf>
    <xf numFmtId="176" fontId="21" fillId="0" borderId="82" xfId="156" applyNumberFormat="1" applyFont="1" applyFill="1" applyBorder="1" applyAlignment="1">
      <alignment vertical="center"/>
    </xf>
    <xf numFmtId="0" fontId="4" fillId="0" borderId="83" xfId="156" applyFont="1" applyFill="1" applyBorder="1" applyAlignment="1">
      <alignment vertical="center"/>
    </xf>
    <xf numFmtId="0" fontId="20" fillId="0" borderId="0" xfId="156" applyBorder="1" applyAlignment="1">
      <alignment horizontal="center" vertical="center"/>
    </xf>
    <xf numFmtId="0" fontId="0" fillId="0" borderId="73" xfId="0" applyBorder="1"/>
    <xf numFmtId="176" fontId="0" fillId="0" borderId="0" xfId="1" applyFont="1" applyAlignment="1">
      <alignment horizontal="center" vertical="center"/>
    </xf>
    <xf numFmtId="176" fontId="0" fillId="0" borderId="0" xfId="1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17" fillId="4" borderId="84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/>
    </xf>
    <xf numFmtId="176" fontId="17" fillId="4" borderId="18" xfId="1" applyFont="1" applyFill="1" applyBorder="1" applyAlignment="1">
      <alignment horizontal="center" vertical="center" wrapText="1"/>
    </xf>
    <xf numFmtId="176" fontId="17" fillId="4" borderId="38" xfId="1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4" fontId="0" fillId="0" borderId="86" xfId="0" applyNumberFormat="1" applyFill="1" applyBorder="1" applyAlignment="1">
      <alignment horizontal="center" vertical="center"/>
    </xf>
    <xf numFmtId="176" fontId="0" fillId="0" borderId="9" xfId="1" applyFont="1" applyFill="1" applyBorder="1" applyAlignment="1">
      <alignment horizontal="center" vertical="center"/>
    </xf>
    <xf numFmtId="188" fontId="0" fillId="0" borderId="9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88" fontId="0" fillId="0" borderId="87" xfId="1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/>
    </xf>
    <xf numFmtId="176" fontId="0" fillId="0" borderId="86" xfId="1" applyFont="1" applyFill="1" applyBorder="1" applyAlignment="1">
      <alignment horizontal="center" vertical="center"/>
    </xf>
    <xf numFmtId="4" fontId="0" fillId="0" borderId="9" xfId="1" applyNumberFormat="1" applyFont="1" applyFill="1" applyBorder="1" applyAlignment="1">
      <alignment horizontal="center" vertical="center"/>
    </xf>
    <xf numFmtId="4" fontId="0" fillId="0" borderId="88" xfId="1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188" fontId="0" fillId="0" borderId="86" xfId="1" applyNumberFormat="1" applyFont="1" applyFill="1" applyBorder="1" applyAlignment="1">
      <alignment horizontal="center" vertical="center"/>
    </xf>
    <xf numFmtId="188" fontId="0" fillId="0" borderId="89" xfId="1" applyNumberFormat="1" applyFont="1" applyFill="1" applyBorder="1" applyAlignment="1">
      <alignment horizontal="center" vertical="center"/>
    </xf>
    <xf numFmtId="188" fontId="0" fillId="0" borderId="2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88" fontId="0" fillId="0" borderId="3" xfId="1" applyNumberFormat="1" applyFont="1" applyFill="1" applyBorder="1" applyAlignment="1">
      <alignment horizontal="center" vertical="center"/>
    </xf>
    <xf numFmtId="188" fontId="0" fillId="0" borderId="73" xfId="1" applyNumberFormat="1" applyFont="1" applyFill="1" applyBorder="1" applyAlignment="1">
      <alignment horizontal="center" vertical="center"/>
    </xf>
    <xf numFmtId="188" fontId="0" fillId="0" borderId="0" xfId="1" applyNumberFormat="1" applyFont="1" applyFill="1" applyBorder="1" applyAlignment="1">
      <alignment horizontal="center" vertical="center"/>
    </xf>
    <xf numFmtId="188" fontId="0" fillId="0" borderId="21" xfId="1" applyNumberFormat="1" applyFont="1" applyFill="1" applyBorder="1" applyAlignment="1">
      <alignment horizontal="center" vertical="center"/>
    </xf>
    <xf numFmtId="188" fontId="0" fillId="0" borderId="90" xfId="1" applyNumberFormat="1" applyFont="1" applyFill="1" applyBorder="1" applyAlignment="1">
      <alignment horizontal="center" vertical="center"/>
    </xf>
    <xf numFmtId="188" fontId="0" fillId="0" borderId="91" xfId="1" applyNumberFormat="1" applyFont="1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76" fontId="0" fillId="0" borderId="2" xfId="1" applyFont="1" applyFill="1" applyBorder="1" applyAlignment="1">
      <alignment horizontal="center" vertical="center"/>
    </xf>
    <xf numFmtId="176" fontId="0" fillId="0" borderId="0" xfId="1" applyFont="1" applyFill="1" applyBorder="1" applyAlignment="1">
      <alignment vertical="center"/>
    </xf>
    <xf numFmtId="0" fontId="0" fillId="0" borderId="93" xfId="0" applyFill="1" applyBorder="1" applyAlignment="1">
      <alignment horizontal="center" vertical="center"/>
    </xf>
    <xf numFmtId="0" fontId="17" fillId="0" borderId="94" xfId="0" applyFont="1" applyFill="1" applyBorder="1" applyAlignment="1">
      <alignment horizontal="center"/>
    </xf>
    <xf numFmtId="0" fontId="0" fillId="0" borderId="94" xfId="0" applyFill="1" applyBorder="1"/>
    <xf numFmtId="176" fontId="0" fillId="0" borderId="94" xfId="1" applyFont="1" applyFill="1" applyBorder="1" applyAlignment="1">
      <alignment horizontal="center" vertical="center"/>
    </xf>
    <xf numFmtId="4" fontId="0" fillId="0" borderId="95" xfId="1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88" fontId="0" fillId="0" borderId="96" xfId="1" applyNumberFormat="1" applyFont="1" applyFill="1" applyBorder="1" applyAlignment="1">
      <alignment horizontal="center" vertical="center"/>
    </xf>
    <xf numFmtId="10" fontId="0" fillId="0" borderId="96" xfId="1" applyNumberFormat="1" applyFont="1" applyFill="1" applyBorder="1" applyAlignment="1">
      <alignment horizontal="center" vertical="center"/>
    </xf>
    <xf numFmtId="10" fontId="0" fillId="0" borderId="97" xfId="1" applyNumberFormat="1" applyFont="1" applyFill="1" applyBorder="1" applyAlignment="1">
      <alignment horizontal="center" vertical="center"/>
    </xf>
    <xf numFmtId="0" fontId="17" fillId="0" borderId="98" xfId="0" applyFont="1" applyFill="1" applyBorder="1" applyAlignment="1">
      <alignment horizontal="center" vertical="center" wrapText="1"/>
    </xf>
    <xf numFmtId="4" fontId="0" fillId="0" borderId="99" xfId="1" applyNumberFormat="1" applyFont="1" applyFill="1" applyBorder="1" applyAlignment="1">
      <alignment horizontal="center" vertical="center"/>
    </xf>
    <xf numFmtId="4" fontId="0" fillId="0" borderId="96" xfId="1" applyNumberFormat="1" applyFont="1" applyFill="1" applyBorder="1" applyAlignment="1">
      <alignment horizontal="center" vertical="center"/>
    </xf>
    <xf numFmtId="188" fontId="0" fillId="0" borderId="0" xfId="0" applyNumberFormat="1"/>
    <xf numFmtId="0" fontId="17" fillId="0" borderId="33" xfId="0" applyFont="1" applyFill="1" applyBorder="1" applyAlignment="1">
      <alignment horizontal="center" vertical="center" wrapText="1"/>
    </xf>
    <xf numFmtId="188" fontId="0" fillId="0" borderId="99" xfId="1" applyNumberFormat="1" applyFont="1" applyFill="1" applyBorder="1" applyAlignment="1">
      <alignment horizontal="center" vertical="center"/>
    </xf>
    <xf numFmtId="176" fontId="0" fillId="0" borderId="96" xfId="1" applyFont="1" applyFill="1" applyBorder="1" applyAlignment="1">
      <alignment vertical="center"/>
    </xf>
    <xf numFmtId="176" fontId="0" fillId="0" borderId="21" xfId="1" applyFont="1" applyFill="1" applyBorder="1" applyAlignment="1">
      <alignment vertical="center"/>
    </xf>
    <xf numFmtId="0" fontId="0" fillId="0" borderId="100" xfId="0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 wrapText="1"/>
    </xf>
    <xf numFmtId="0" fontId="0" fillId="0" borderId="101" xfId="0" applyFill="1" applyBorder="1" applyAlignment="1">
      <alignment horizontal="center" vertical="center"/>
    </xf>
    <xf numFmtId="176" fontId="0" fillId="0" borderId="22" xfId="1" applyFont="1" applyFill="1" applyBorder="1" applyAlignment="1">
      <alignment horizontal="center" vertical="center"/>
    </xf>
    <xf numFmtId="188" fontId="0" fillId="0" borderId="22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1" applyFont="1" applyFill="1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176" fontId="0" fillId="0" borderId="0" xfId="1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10" fontId="0" fillId="0" borderId="34" xfId="1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76" fontId="17" fillId="4" borderId="102" xfId="1" applyFont="1" applyFill="1" applyBorder="1" applyAlignment="1">
      <alignment horizontal="center" vertical="center" wrapText="1"/>
    </xf>
    <xf numFmtId="176" fontId="17" fillId="4" borderId="103" xfId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4" fontId="0" fillId="0" borderId="86" xfId="0" applyNumberFormat="1" applyBorder="1" applyAlignment="1">
      <alignment horizontal="center" vertical="center"/>
    </xf>
    <xf numFmtId="176" fontId="0" fillId="0" borderId="9" xfId="1" applyFont="1" applyBorder="1" applyAlignment="1">
      <alignment horizontal="center" vertical="center"/>
    </xf>
    <xf numFmtId="188" fontId="0" fillId="0" borderId="9" xfId="1" applyNumberFormat="1" applyFont="1" applyBorder="1" applyAlignment="1">
      <alignment horizontal="center" vertical="center"/>
    </xf>
    <xf numFmtId="176" fontId="0" fillId="0" borderId="88" xfId="1" applyFont="1" applyBorder="1" applyAlignment="1">
      <alignment horizontal="center" vertical="center"/>
    </xf>
    <xf numFmtId="188" fontId="0" fillId="0" borderId="88" xfId="1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0" fillId="6" borderId="85" xfId="0" applyFill="1" applyBorder="1" applyAlignment="1">
      <alignment horizontal="center" vertical="center"/>
    </xf>
    <xf numFmtId="0" fontId="0" fillId="6" borderId="0" xfId="0" applyFill="1" applyBorder="1" applyAlignment="1">
      <alignment vertical="center" wrapText="1"/>
    </xf>
    <xf numFmtId="4" fontId="0" fillId="6" borderId="86" xfId="0" applyNumberFormat="1" applyFill="1" applyBorder="1" applyAlignment="1">
      <alignment horizontal="center" vertical="center"/>
    </xf>
    <xf numFmtId="176" fontId="0" fillId="6" borderId="9" xfId="1" applyFont="1" applyFill="1" applyBorder="1" applyAlignment="1">
      <alignment horizontal="center" vertical="center"/>
    </xf>
    <xf numFmtId="188" fontId="0" fillId="6" borderId="9" xfId="1" applyNumberFormat="1" applyFont="1" applyFill="1" applyBorder="1" applyAlignment="1">
      <alignment horizontal="center" vertical="center"/>
    </xf>
    <xf numFmtId="0" fontId="17" fillId="0" borderId="104" xfId="0" applyFont="1" applyFill="1" applyBorder="1" applyAlignment="1">
      <alignment horizontal="center" vertical="center" wrapText="1"/>
    </xf>
    <xf numFmtId="176" fontId="0" fillId="0" borderId="86" xfId="1" applyFont="1" applyFill="1" applyBorder="1" applyAlignment="1">
      <alignment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04" xfId="0" applyFont="1" applyFill="1" applyBorder="1" applyAlignment="1">
      <alignment horizontal="center" vertical="center"/>
    </xf>
    <xf numFmtId="0" fontId="0" fillId="0" borderId="105" xfId="0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188" fontId="0" fillId="0" borderId="26" xfId="1" applyNumberFormat="1" applyFont="1" applyFill="1" applyBorder="1" applyAlignment="1">
      <alignment horizontal="center" vertical="center"/>
    </xf>
    <xf numFmtId="176" fontId="0" fillId="0" borderId="26" xfId="1" applyFont="1" applyFill="1" applyBorder="1" applyAlignment="1">
      <alignment vertical="center"/>
    </xf>
    <xf numFmtId="4" fontId="0" fillId="0" borderId="86" xfId="1" applyNumberFormat="1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176" fontId="0" fillId="0" borderId="99" xfId="1" applyFont="1" applyBorder="1" applyAlignment="1">
      <alignment horizontal="center" vertical="center"/>
    </xf>
    <xf numFmtId="176" fontId="0" fillId="0" borderId="96" xfId="1" applyFont="1" applyBorder="1" applyAlignment="1">
      <alignment horizontal="center" vertical="center"/>
    </xf>
    <xf numFmtId="176" fontId="0" fillId="6" borderId="96" xfId="1" applyFont="1" applyFill="1" applyBorder="1" applyAlignment="1">
      <alignment horizontal="center" vertical="center"/>
    </xf>
    <xf numFmtId="176" fontId="0" fillId="0" borderId="0" xfId="0" applyNumberFormat="1"/>
    <xf numFmtId="0" fontId="17" fillId="6" borderId="26" xfId="0" applyFont="1" applyFill="1" applyBorder="1" applyAlignment="1">
      <alignment horizontal="center" vertical="center" wrapText="1"/>
    </xf>
    <xf numFmtId="176" fontId="17" fillId="6" borderId="98" xfId="1" applyFont="1" applyFill="1" applyBorder="1" applyAlignment="1">
      <alignment horizontal="center" vertical="center"/>
    </xf>
    <xf numFmtId="4" fontId="0" fillId="6" borderId="9" xfId="1" applyNumberFormat="1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188" fontId="0" fillId="6" borderId="86" xfId="1" applyNumberFormat="1" applyFont="1" applyFill="1" applyBorder="1" applyAlignment="1">
      <alignment horizontal="center" vertical="center"/>
    </xf>
    <xf numFmtId="176" fontId="0" fillId="6" borderId="21" xfId="1" applyFont="1" applyFill="1" applyBorder="1" applyAlignment="1">
      <alignment horizontal="center" vertical="center"/>
    </xf>
    <xf numFmtId="188" fontId="0" fillId="6" borderId="26" xfId="1" applyNumberFormat="1" applyFont="1" applyFill="1" applyBorder="1" applyAlignment="1">
      <alignment horizontal="center" vertical="center"/>
    </xf>
    <xf numFmtId="176" fontId="0" fillId="6" borderId="38" xfId="1" applyFont="1" applyFill="1" applyBorder="1" applyAlignment="1">
      <alignment horizontal="center" vertical="center"/>
    </xf>
    <xf numFmtId="176" fontId="0" fillId="6" borderId="86" xfId="1" applyFont="1" applyFill="1" applyBorder="1" applyAlignment="1">
      <alignment horizontal="center" vertical="center"/>
    </xf>
    <xf numFmtId="0" fontId="32" fillId="0" borderId="94" xfId="0" applyFont="1" applyFill="1" applyBorder="1" applyAlignment="1">
      <alignment vertical="center" wrapText="1"/>
    </xf>
    <xf numFmtId="0" fontId="0" fillId="0" borderId="106" xfId="0" applyFill="1" applyBorder="1" applyAlignment="1">
      <alignment horizontal="center" vertical="center"/>
    </xf>
    <xf numFmtId="176" fontId="0" fillId="0" borderId="106" xfId="1" applyFont="1" applyFill="1" applyBorder="1" applyAlignment="1">
      <alignment horizontal="center" vertical="center"/>
    </xf>
    <xf numFmtId="4" fontId="0" fillId="0" borderId="87" xfId="1" applyNumberFormat="1" applyFont="1" applyFill="1" applyBorder="1" applyAlignment="1">
      <alignment horizontal="center" vertical="center"/>
    </xf>
    <xf numFmtId="176" fontId="0" fillId="0" borderId="106" xfId="1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17" fillId="0" borderId="107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0" fillId="6" borderId="87" xfId="1" applyNumberFormat="1" applyFont="1" applyFill="1" applyBorder="1" applyAlignment="1">
      <alignment horizontal="center" vertical="center"/>
    </xf>
    <xf numFmtId="176" fontId="0" fillId="6" borderId="106" xfId="1" applyFont="1" applyFill="1" applyBorder="1" applyAlignment="1">
      <alignment horizontal="center" vertical="center"/>
    </xf>
    <xf numFmtId="188" fontId="0" fillId="6" borderId="0" xfId="1" applyNumberFormat="1" applyFont="1" applyFill="1" applyBorder="1" applyAlignment="1">
      <alignment horizontal="center" vertical="center"/>
    </xf>
    <xf numFmtId="176" fontId="17" fillId="0" borderId="99" xfId="1" applyFont="1" applyBorder="1" applyAlignment="1">
      <alignment horizontal="center" vertical="center"/>
    </xf>
    <xf numFmtId="176" fontId="17" fillId="0" borderId="34" xfId="1" applyFont="1" applyBorder="1" applyAlignment="1">
      <alignment horizontal="center" vertical="center"/>
    </xf>
    <xf numFmtId="176" fontId="17" fillId="0" borderId="109" xfId="1" applyFont="1" applyBorder="1" applyAlignment="1">
      <alignment horizontal="center" vertical="center"/>
    </xf>
    <xf numFmtId="0" fontId="35" fillId="0" borderId="0" xfId="129" applyFont="1" applyFill="1" applyAlignment="1">
      <alignment vertical="center"/>
    </xf>
    <xf numFmtId="0" fontId="36" fillId="0" borderId="0" xfId="129" applyFont="1" applyFill="1"/>
    <xf numFmtId="0" fontId="35" fillId="0" borderId="0" xfId="129" applyFont="1" applyFill="1"/>
    <xf numFmtId="0" fontId="35" fillId="0" borderId="0" xfId="161" applyFont="1" applyFill="1"/>
    <xf numFmtId="0" fontId="37" fillId="0" borderId="18" xfId="161" applyFont="1" applyFill="1" applyBorder="1" applyAlignment="1" applyProtection="1">
      <alignment horizontal="center" vertical="center"/>
      <protection locked="0"/>
    </xf>
    <xf numFmtId="0" fontId="38" fillId="0" borderId="19" xfId="129" applyFont="1" applyFill="1" applyBorder="1" applyAlignment="1">
      <alignment horizontal="center" vertical="center"/>
    </xf>
    <xf numFmtId="0" fontId="38" fillId="0" borderId="26" xfId="129" applyFont="1" applyFill="1" applyBorder="1" applyAlignment="1">
      <alignment horizontal="center" vertical="center"/>
    </xf>
    <xf numFmtId="0" fontId="38" fillId="0" borderId="33" xfId="129" applyFont="1" applyFill="1" applyBorder="1" applyAlignment="1">
      <alignment horizontal="center" vertical="center"/>
    </xf>
    <xf numFmtId="0" fontId="35" fillId="0" borderId="103" xfId="161" applyFont="1" applyFill="1" applyBorder="1" applyProtection="1">
      <protection hidden="1"/>
    </xf>
    <xf numFmtId="0" fontId="35" fillId="0" borderId="110" xfId="161" applyFont="1" applyFill="1" applyBorder="1" applyAlignment="1" applyProtection="1">
      <alignment horizontal="left" vertical="center"/>
      <protection locked="0" hidden="1"/>
    </xf>
    <xf numFmtId="0" fontId="35" fillId="0" borderId="37" xfId="161" applyFont="1" applyFill="1" applyBorder="1" applyAlignment="1" applyProtection="1">
      <alignment horizontal="left" vertical="center"/>
      <protection locked="0" hidden="1"/>
    </xf>
    <xf numFmtId="0" fontId="36" fillId="0" borderId="111" xfId="161" applyFont="1" applyFill="1" applyBorder="1" applyAlignment="1" applyProtection="1">
      <alignment horizontal="left" vertical="center"/>
      <protection hidden="1"/>
    </xf>
    <xf numFmtId="0" fontId="39" fillId="0" borderId="112" xfId="129" applyFont="1" applyFill="1" applyBorder="1" applyAlignment="1">
      <alignment horizontal="center" vertical="center" wrapText="1"/>
    </xf>
    <xf numFmtId="0" fontId="35" fillId="0" borderId="92" xfId="161" applyFont="1" applyFill="1" applyBorder="1" applyAlignment="1" applyProtection="1">
      <alignment vertical="center"/>
      <protection hidden="1"/>
    </xf>
    <xf numFmtId="0" fontId="35" fillId="0" borderId="110" xfId="161" applyFont="1" applyFill="1" applyBorder="1" applyAlignment="1" applyProtection="1">
      <alignment horizontal="center" vertical="center"/>
      <protection locked="0" hidden="1"/>
    </xf>
    <xf numFmtId="0" fontId="35" fillId="0" borderId="37" xfId="161" applyFont="1" applyFill="1" applyBorder="1" applyAlignment="1" applyProtection="1">
      <alignment horizontal="center" vertical="center"/>
      <protection locked="0" hidden="1"/>
    </xf>
    <xf numFmtId="0" fontId="36" fillId="0" borderId="93" xfId="161" applyFont="1" applyFill="1" applyBorder="1" applyAlignment="1" applyProtection="1">
      <alignment horizontal="left" vertical="center"/>
      <protection hidden="1"/>
    </xf>
    <xf numFmtId="0" fontId="39" fillId="0" borderId="97" xfId="129" applyFont="1" applyFill="1" applyBorder="1" applyAlignment="1">
      <alignment horizontal="center" vertical="center" wrapText="1"/>
    </xf>
    <xf numFmtId="0" fontId="35" fillId="0" borderId="12" xfId="161" applyFont="1" applyFill="1" applyBorder="1" applyProtection="1">
      <protection hidden="1"/>
    </xf>
    <xf numFmtId="0" fontId="35" fillId="0" borderId="110" xfId="161" applyFont="1" applyFill="1" applyBorder="1" applyAlignment="1" applyProtection="1">
      <alignment horizontal="left"/>
      <protection locked="0" hidden="1"/>
    </xf>
    <xf numFmtId="0" fontId="35" fillId="0" borderId="37" xfId="161" applyFont="1" applyFill="1" applyBorder="1" applyAlignment="1" applyProtection="1">
      <alignment horizontal="left"/>
      <protection locked="0" hidden="1"/>
    </xf>
    <xf numFmtId="0" fontId="36" fillId="0" borderId="28" xfId="161" applyFont="1" applyFill="1" applyBorder="1" applyAlignment="1" applyProtection="1">
      <alignment horizontal="left"/>
      <protection hidden="1"/>
    </xf>
    <xf numFmtId="0" fontId="36" fillId="0" borderId="37" xfId="161" applyFont="1" applyFill="1" applyBorder="1" applyAlignment="1" applyProtection="1">
      <alignment horizontal="center"/>
      <protection locked="0" hidden="1"/>
    </xf>
    <xf numFmtId="0" fontId="35" fillId="0" borderId="113" xfId="161" applyFont="1" applyFill="1" applyBorder="1" applyProtection="1">
      <protection hidden="1"/>
    </xf>
    <xf numFmtId="0" fontId="35" fillId="0" borderId="28" xfId="161" applyFont="1" applyFill="1" applyBorder="1" applyAlignment="1" applyProtection="1">
      <alignment horizontal="left"/>
      <protection locked="0" hidden="1"/>
    </xf>
    <xf numFmtId="0" fontId="36" fillId="0" borderId="113" xfId="161" applyFont="1" applyFill="1" applyBorder="1" applyAlignment="1" applyProtection="1">
      <alignment horizontal="left"/>
      <protection hidden="1"/>
    </xf>
    <xf numFmtId="49" fontId="36" fillId="0" borderId="37" xfId="161" applyNumberFormat="1" applyFont="1" applyFill="1" applyBorder="1" applyAlignment="1" applyProtection="1">
      <alignment horizontal="center"/>
      <protection locked="0" hidden="1"/>
    </xf>
    <xf numFmtId="49" fontId="35" fillId="0" borderId="110" xfId="161" applyNumberFormat="1" applyFont="1" applyFill="1" applyBorder="1" applyAlignment="1" applyProtection="1">
      <alignment horizontal="left"/>
      <protection locked="0" hidden="1"/>
    </xf>
    <xf numFmtId="0" fontId="36" fillId="0" borderId="113" xfId="161" applyFont="1" applyFill="1" applyBorder="1" applyAlignment="1" applyProtection="1">
      <protection hidden="1"/>
    </xf>
    <xf numFmtId="4" fontId="36" fillId="0" borderId="37" xfId="161" applyNumberFormat="1" applyFont="1" applyFill="1" applyBorder="1" applyAlignment="1">
      <alignment horizontal="right"/>
    </xf>
    <xf numFmtId="0" fontId="36" fillId="0" borderId="88" xfId="161" applyFont="1" applyFill="1" applyBorder="1" applyAlignment="1" applyProtection="1">
      <alignment horizontal="center"/>
      <protection hidden="1"/>
    </xf>
    <xf numFmtId="4" fontId="36" fillId="0" borderId="114" xfId="161" applyNumberFormat="1" applyFont="1" applyFill="1" applyBorder="1" applyAlignment="1">
      <alignment horizontal="right"/>
    </xf>
    <xf numFmtId="0" fontId="35" fillId="0" borderId="88" xfId="161" applyFont="1" applyFill="1" applyBorder="1" applyAlignment="1" applyProtection="1">
      <alignment horizontal="center"/>
      <protection hidden="1"/>
    </xf>
    <xf numFmtId="0" fontId="35" fillId="0" borderId="2" xfId="161" applyFont="1" applyFill="1" applyBorder="1" applyAlignment="1" applyProtection="1">
      <alignment horizontal="center"/>
      <protection hidden="1"/>
    </xf>
    <xf numFmtId="0" fontId="35" fillId="0" borderId="114" xfId="161" applyFont="1" applyFill="1" applyBorder="1" applyAlignment="1" applyProtection="1">
      <alignment horizontal="center"/>
      <protection hidden="1"/>
    </xf>
    <xf numFmtId="0" fontId="36" fillId="0" borderId="107" xfId="161" applyFont="1" applyFill="1" applyBorder="1" applyAlignment="1" applyProtection="1">
      <alignment horizontal="left"/>
      <protection locked="0" hidden="1"/>
    </xf>
    <xf numFmtId="4" fontId="36" fillId="0" borderId="115" xfId="161" applyNumberFormat="1" applyFont="1" applyFill="1" applyBorder="1" applyAlignment="1" applyProtection="1">
      <alignment horizontal="right"/>
      <protection locked="0" hidden="1"/>
    </xf>
    <xf numFmtId="0" fontId="35" fillId="0" borderId="87" xfId="161" applyFont="1" applyFill="1" applyBorder="1" applyAlignment="1" applyProtection="1">
      <alignment horizontal="center"/>
      <protection hidden="1"/>
    </xf>
    <xf numFmtId="0" fontId="35" fillId="0" borderId="94" xfId="161" applyFont="1" applyFill="1" applyBorder="1" applyAlignment="1" applyProtection="1">
      <alignment horizontal="center"/>
      <protection hidden="1"/>
    </xf>
    <xf numFmtId="0" fontId="35" fillId="0" borderId="116" xfId="161" applyFont="1" applyFill="1" applyBorder="1" applyAlignment="1" applyProtection="1">
      <alignment horizontal="center"/>
      <protection hidden="1"/>
    </xf>
    <xf numFmtId="0" fontId="36" fillId="0" borderId="18" xfId="161" applyFont="1" applyFill="1" applyBorder="1" applyAlignment="1" applyProtection="1">
      <alignment horizontal="left"/>
      <protection hidden="1"/>
    </xf>
    <xf numFmtId="4" fontId="35" fillId="0" borderId="20" xfId="161" applyNumberFormat="1" applyFont="1" applyFill="1" applyBorder="1"/>
    <xf numFmtId="0" fontId="35" fillId="0" borderId="113" xfId="161" applyFont="1" applyFill="1" applyBorder="1" applyAlignment="1" applyProtection="1">
      <alignment vertical="center"/>
      <protection hidden="1"/>
    </xf>
    <xf numFmtId="0" fontId="36" fillId="0" borderId="110" xfId="161" applyFont="1" applyFill="1" applyBorder="1" applyAlignment="1" applyProtection="1">
      <alignment horizontal="left" vertical="center"/>
      <protection locked="0" hidden="1"/>
    </xf>
    <xf numFmtId="0" fontId="35" fillId="0" borderId="30" xfId="161" applyFont="1" applyFill="1" applyBorder="1" applyAlignment="1" applyProtection="1">
      <alignment horizontal="center" vertical="center"/>
      <protection locked="0" hidden="1"/>
    </xf>
    <xf numFmtId="4" fontId="35" fillId="0" borderId="9" xfId="161" applyNumberFormat="1" applyFont="1" applyFill="1" applyBorder="1" applyAlignment="1" applyProtection="1">
      <alignment horizontal="center" vertical="center"/>
      <protection hidden="1"/>
    </xf>
    <xf numFmtId="0" fontId="35" fillId="0" borderId="21" xfId="161" applyFont="1" applyFill="1" applyBorder="1" applyAlignment="1" applyProtection="1">
      <alignment vertical="center"/>
      <protection locked="0" hidden="1"/>
    </xf>
    <xf numFmtId="0" fontId="36" fillId="0" borderId="110" xfId="161" applyFont="1" applyFill="1" applyBorder="1" applyAlignment="1" applyProtection="1">
      <alignment horizontal="center" vertical="center"/>
      <protection locked="0" hidden="1"/>
    </xf>
    <xf numFmtId="0" fontId="40" fillId="0" borderId="18" xfId="161" applyFont="1" applyFill="1" applyBorder="1" applyAlignment="1" applyProtection="1">
      <alignment horizontal="left"/>
      <protection hidden="1"/>
    </xf>
    <xf numFmtId="4" fontId="40" fillId="0" borderId="20" xfId="161" applyNumberFormat="1" applyFont="1" applyFill="1" applyBorder="1" applyAlignment="1" applyProtection="1">
      <alignment horizontal="left"/>
      <protection locked="0" hidden="1"/>
    </xf>
    <xf numFmtId="0" fontId="35" fillId="0" borderId="9" xfId="161" applyFont="1" applyFill="1" applyBorder="1" applyAlignment="1" applyProtection="1">
      <alignment horizontal="center"/>
      <protection locked="0" hidden="1"/>
    </xf>
    <xf numFmtId="0" fontId="35" fillId="0" borderId="9" xfId="161" applyFont="1" applyFill="1" applyBorder="1"/>
    <xf numFmtId="182" fontId="41" fillId="0" borderId="21" xfId="105" applyFont="1" applyFill="1" applyBorder="1"/>
    <xf numFmtId="0" fontId="40" fillId="0" borderId="22" xfId="161" applyFont="1" applyFill="1" applyBorder="1" applyAlignment="1" applyProtection="1">
      <alignment horizontal="left"/>
      <protection hidden="1"/>
    </xf>
    <xf numFmtId="4" fontId="40" fillId="0" borderId="24" xfId="161" applyNumberFormat="1" applyFont="1" applyFill="1" applyBorder="1" applyAlignment="1" applyProtection="1">
      <alignment horizontal="left"/>
      <protection locked="0" hidden="1"/>
    </xf>
    <xf numFmtId="0" fontId="35" fillId="0" borderId="22" xfId="161" applyFont="1" applyFill="1" applyBorder="1" applyAlignment="1" applyProtection="1">
      <alignment horizontal="center"/>
      <protection locked="0" hidden="1"/>
    </xf>
    <xf numFmtId="182" fontId="41" fillId="0" borderId="22" xfId="105" applyFont="1" applyFill="1" applyBorder="1"/>
    <xf numFmtId="0" fontId="35" fillId="0" borderId="24" xfId="161" applyFont="1" applyFill="1" applyBorder="1"/>
    <xf numFmtId="0" fontId="36" fillId="0" borderId="84" xfId="161" applyFont="1" applyFill="1" applyBorder="1" applyAlignment="1" applyProtection="1">
      <alignment horizontal="center" vertical="center" wrapText="1"/>
      <protection hidden="1"/>
    </xf>
    <xf numFmtId="0" fontId="35" fillId="0" borderId="117" xfId="129" applyFont="1" applyFill="1" applyBorder="1" applyAlignment="1">
      <alignment horizontal="center" vertical="center" wrapText="1"/>
    </xf>
    <xf numFmtId="4" fontId="36" fillId="0" borderId="117" xfId="161" applyNumberFormat="1" applyFont="1" applyFill="1" applyBorder="1" applyAlignment="1" applyProtection="1">
      <alignment horizontal="center" vertical="center" wrapText="1"/>
      <protection hidden="1"/>
    </xf>
    <xf numFmtId="0" fontId="36" fillId="0" borderId="117" xfId="161" applyFont="1" applyFill="1" applyBorder="1" applyAlignment="1" applyProtection="1">
      <alignment horizontal="center" vertical="center" wrapText="1"/>
      <protection locked="0" hidden="1"/>
    </xf>
    <xf numFmtId="4" fontId="36" fillId="0" borderId="112" xfId="161" applyNumberFormat="1" applyFont="1" applyFill="1" applyBorder="1" applyAlignment="1" applyProtection="1">
      <alignment horizontal="center" vertical="center" wrapText="1"/>
      <protection hidden="1"/>
    </xf>
    <xf numFmtId="0" fontId="35" fillId="0" borderId="100" xfId="129" applyFont="1" applyFill="1" applyBorder="1" applyAlignment="1">
      <alignment horizontal="center" vertical="center" wrapText="1"/>
    </xf>
    <xf numFmtId="0" fontId="35" fillId="0" borderId="27" xfId="129" applyFont="1" applyFill="1" applyBorder="1" applyAlignment="1">
      <alignment horizontal="center" vertical="center" wrapText="1"/>
    </xf>
    <xf numFmtId="0" fontId="35" fillId="0" borderId="34" xfId="129" applyFont="1" applyFill="1" applyBorder="1" applyAlignment="1">
      <alignment horizontal="center" vertical="center" wrapText="1"/>
    </xf>
    <xf numFmtId="0" fontId="36" fillId="0" borderId="103" xfId="161" applyFont="1" applyFill="1" applyBorder="1" applyAlignment="1" applyProtection="1">
      <alignment horizontal="left"/>
      <protection hidden="1"/>
    </xf>
    <xf numFmtId="0" fontId="36" fillId="0" borderId="118" xfId="161" applyFont="1" applyFill="1" applyBorder="1" applyAlignment="1" applyProtection="1">
      <alignment horizontal="left"/>
      <protection hidden="1"/>
    </xf>
    <xf numFmtId="0" fontId="35" fillId="0" borderId="3" xfId="161" applyFont="1" applyFill="1" applyBorder="1" applyAlignment="1" applyProtection="1">
      <alignment horizontal="center"/>
      <protection hidden="1"/>
    </xf>
    <xf numFmtId="4" fontId="36" fillId="0" borderId="90" xfId="161" applyNumberFormat="1" applyFont="1" applyFill="1" applyBorder="1" applyAlignment="1" applyProtection="1">
      <alignment horizontal="center"/>
      <protection hidden="1"/>
    </xf>
    <xf numFmtId="4" fontId="36" fillId="0" borderId="116" xfId="161" applyNumberFormat="1" applyFont="1" applyFill="1" applyBorder="1" applyAlignment="1" applyProtection="1">
      <alignment horizontal="center"/>
      <protection hidden="1"/>
    </xf>
    <xf numFmtId="0" fontId="35" fillId="0" borderId="88" xfId="161" applyFont="1" applyFill="1" applyBorder="1" applyAlignment="1" applyProtection="1">
      <alignment horizontal="left"/>
      <protection hidden="1"/>
    </xf>
    <xf numFmtId="0" fontId="35" fillId="0" borderId="31" xfId="161" applyFont="1" applyFill="1" applyBorder="1" applyAlignment="1" applyProtection="1">
      <alignment horizontal="left"/>
      <protection hidden="1"/>
    </xf>
    <xf numFmtId="4" fontId="35" fillId="0" borderId="89" xfId="161" applyNumberFormat="1" applyFont="1" applyFill="1" applyBorder="1" applyAlignment="1" applyProtection="1">
      <alignment horizontal="right"/>
      <protection locked="0" hidden="1"/>
    </xf>
    <xf numFmtId="4" fontId="35" fillId="0" borderId="99" xfId="161" applyNumberFormat="1" applyFont="1" applyFill="1" applyBorder="1" applyProtection="1">
      <protection hidden="1"/>
    </xf>
    <xf numFmtId="4" fontId="35" fillId="0" borderId="0" xfId="129" applyNumberFormat="1" applyFont="1" applyFill="1"/>
    <xf numFmtId="0" fontId="36" fillId="0" borderId="9" xfId="161" applyFont="1" applyFill="1" applyBorder="1" applyAlignment="1" applyProtection="1">
      <alignment horizontal="left"/>
      <protection hidden="1"/>
    </xf>
    <xf numFmtId="0" fontId="36" fillId="0" borderId="32" xfId="161" applyFont="1" applyFill="1" applyBorder="1" applyAlignment="1" applyProtection="1">
      <alignment horizontal="left"/>
      <protection hidden="1"/>
    </xf>
    <xf numFmtId="4" fontId="36" fillId="0" borderId="73" xfId="162" applyNumberFormat="1" applyFont="1" applyFill="1" applyBorder="1" applyAlignment="1" applyProtection="1">
      <alignment horizontal="right"/>
      <protection locked="0" hidden="1"/>
    </xf>
    <xf numFmtId="4" fontId="36" fillId="0" borderId="73" xfId="161" applyNumberFormat="1" applyFont="1" applyFill="1" applyBorder="1" applyAlignment="1" applyProtection="1">
      <alignment horizontal="right"/>
      <protection locked="0" hidden="1"/>
    </xf>
    <xf numFmtId="4" fontId="36" fillId="0" borderId="96" xfId="161" applyNumberFormat="1" applyFont="1" applyFill="1" applyBorder="1" applyProtection="1">
      <protection hidden="1"/>
    </xf>
    <xf numFmtId="4" fontId="41" fillId="0" borderId="0" xfId="129" applyNumberFormat="1" applyFont="1" applyFill="1"/>
    <xf numFmtId="4" fontId="36" fillId="0" borderId="0" xfId="129" applyNumberFormat="1" applyFont="1" applyFill="1"/>
    <xf numFmtId="0" fontId="35" fillId="0" borderId="9" xfId="161" applyFont="1" applyFill="1" applyBorder="1" applyAlignment="1" applyProtection="1">
      <alignment horizontal="left"/>
      <protection hidden="1"/>
    </xf>
    <xf numFmtId="0" fontId="35" fillId="0" borderId="32" xfId="161" applyFont="1" applyFill="1" applyBorder="1" applyAlignment="1" applyProtection="1">
      <alignment horizontal="left"/>
      <protection hidden="1"/>
    </xf>
    <xf numFmtId="4" fontId="35" fillId="0" borderId="73" xfId="161" applyNumberFormat="1" applyFont="1" applyFill="1" applyBorder="1" applyAlignment="1" applyProtection="1">
      <alignment horizontal="right"/>
      <protection locked="0" hidden="1"/>
    </xf>
    <xf numFmtId="4" fontId="35" fillId="0" borderId="96" xfId="161" applyNumberFormat="1" applyFont="1" applyFill="1" applyBorder="1" applyProtection="1">
      <protection hidden="1"/>
    </xf>
    <xf numFmtId="0" fontId="36" fillId="0" borderId="12" xfId="161" applyFont="1" applyFill="1" applyBorder="1" applyAlignment="1" applyProtection="1">
      <alignment horizontal="left" vertical="center"/>
      <protection hidden="1"/>
    </xf>
    <xf numFmtId="0" fontId="36" fillId="0" borderId="28" xfId="161" applyFont="1" applyFill="1" applyBorder="1" applyAlignment="1" applyProtection="1">
      <alignment horizontal="left" vertical="center"/>
      <protection hidden="1"/>
    </xf>
    <xf numFmtId="4" fontId="36" fillId="0" borderId="29" xfId="161" applyNumberFormat="1" applyFont="1" applyFill="1" applyBorder="1" applyAlignment="1" applyProtection="1">
      <alignment horizontal="right"/>
      <protection hidden="1"/>
    </xf>
    <xf numFmtId="4" fontId="36" fillId="0" borderId="36" xfId="161" applyNumberFormat="1" applyFont="1" applyFill="1" applyBorder="1" applyProtection="1">
      <protection hidden="1"/>
    </xf>
    <xf numFmtId="4" fontId="35" fillId="0" borderId="73" xfId="105" applyNumberFormat="1" applyFont="1" applyFill="1" applyBorder="1" applyAlignment="1" applyProtection="1">
      <alignment horizontal="right"/>
      <protection locked="0" hidden="1"/>
    </xf>
    <xf numFmtId="0" fontId="35" fillId="0" borderId="32" xfId="161" applyFont="1" applyFill="1" applyBorder="1" applyProtection="1">
      <protection hidden="1"/>
    </xf>
    <xf numFmtId="0" fontId="36" fillId="0" borderId="87" xfId="161" applyFont="1" applyFill="1" applyBorder="1" applyAlignment="1" applyProtection="1">
      <alignment horizontal="left"/>
      <protection hidden="1"/>
    </xf>
    <xf numFmtId="0" fontId="36" fillId="0" borderId="119" xfId="161" applyFont="1" applyFill="1" applyBorder="1" applyAlignment="1" applyProtection="1">
      <alignment horizontal="left"/>
      <protection hidden="1"/>
    </xf>
    <xf numFmtId="4" fontId="36" fillId="0" borderId="90" xfId="161" applyNumberFormat="1" applyFont="1" applyFill="1" applyBorder="1" applyAlignment="1" applyProtection="1">
      <alignment horizontal="right"/>
      <protection locked="0" hidden="1"/>
    </xf>
    <xf numFmtId="4" fontId="36" fillId="0" borderId="97" xfId="161" applyNumberFormat="1" applyFont="1" applyFill="1" applyBorder="1" applyProtection="1">
      <protection hidden="1"/>
    </xf>
    <xf numFmtId="0" fontId="35" fillId="0" borderId="18" xfId="161" applyFont="1" applyFill="1" applyBorder="1" applyAlignment="1" applyProtection="1">
      <protection hidden="1"/>
    </xf>
    <xf numFmtId="0" fontId="35" fillId="0" borderId="19" xfId="161" applyFont="1" applyFill="1" applyBorder="1" applyAlignment="1" applyProtection="1">
      <protection hidden="1"/>
    </xf>
    <xf numFmtId="4" fontId="36" fillId="0" borderId="19" xfId="161" applyNumberFormat="1" applyFont="1" applyFill="1" applyBorder="1" applyAlignment="1" applyProtection="1">
      <alignment horizontal="center"/>
      <protection hidden="1"/>
    </xf>
    <xf numFmtId="4" fontId="36" fillId="0" borderId="20" xfId="161" applyNumberFormat="1" applyFont="1" applyFill="1" applyBorder="1" applyProtection="1">
      <protection hidden="1"/>
    </xf>
    <xf numFmtId="0" fontId="42" fillId="0" borderId="9" xfId="161" applyFont="1" applyFill="1" applyBorder="1"/>
    <xf numFmtId="0" fontId="35" fillId="0" borderId="0" xfId="161" applyFont="1" applyFill="1" applyBorder="1" applyProtection="1">
      <protection hidden="1"/>
    </xf>
    <xf numFmtId="4" fontId="35" fillId="0" borderId="0" xfId="161" applyNumberFormat="1" applyFont="1" applyFill="1" applyBorder="1" applyAlignment="1" applyProtection="1">
      <alignment horizontal="center"/>
      <protection hidden="1"/>
    </xf>
    <xf numFmtId="4" fontId="41" fillId="0" borderId="21" xfId="161" applyNumberFormat="1" applyFont="1" applyFill="1" applyBorder="1" applyProtection="1">
      <protection hidden="1"/>
    </xf>
    <xf numFmtId="0" fontId="43" fillId="0" borderId="9" xfId="161" applyFont="1" applyFill="1" applyBorder="1" applyProtection="1">
      <protection hidden="1"/>
    </xf>
    <xf numFmtId="0" fontId="43" fillId="0" borderId="0" xfId="161" applyFont="1" applyFill="1" applyBorder="1" applyAlignment="1" applyProtection="1">
      <protection hidden="1"/>
    </xf>
    <xf numFmtId="0" fontId="35" fillId="0" borderId="22" xfId="161" applyFont="1" applyFill="1" applyBorder="1" applyAlignment="1" applyProtection="1">
      <protection hidden="1"/>
    </xf>
    <xf numFmtId="0" fontId="35" fillId="0" borderId="23" xfId="161" applyFont="1" applyFill="1" applyBorder="1" applyProtection="1">
      <protection hidden="1"/>
    </xf>
    <xf numFmtId="4" fontId="36" fillId="0" borderId="23" xfId="161" applyNumberFormat="1" applyFont="1" applyFill="1" applyBorder="1" applyAlignment="1" applyProtection="1">
      <alignment horizontal="right"/>
      <protection locked="0" hidden="1"/>
    </xf>
    <xf numFmtId="0" fontId="35" fillId="0" borderId="23" xfId="161" applyFont="1" applyFill="1" applyBorder="1" applyAlignment="1" applyProtection="1">
      <alignment horizontal="right"/>
      <protection locked="0" hidden="1"/>
    </xf>
    <xf numFmtId="4" fontId="35" fillId="0" borderId="24" xfId="161" applyNumberFormat="1" applyFont="1" applyFill="1" applyBorder="1" applyProtection="1">
      <protection hidden="1"/>
    </xf>
    <xf numFmtId="0" fontId="36" fillId="0" borderId="87" xfId="161" applyFont="1" applyFill="1" applyBorder="1" applyAlignment="1" applyProtection="1">
      <alignment horizontal="center"/>
      <protection hidden="1"/>
    </xf>
    <xf numFmtId="0" fontId="36" fillId="0" borderId="94" xfId="161" applyFont="1" applyFill="1" applyBorder="1" applyAlignment="1" applyProtection="1">
      <alignment horizontal="center"/>
      <protection hidden="1"/>
    </xf>
    <xf numFmtId="0" fontId="36" fillId="0" borderId="119" xfId="161" applyFont="1" applyFill="1" applyBorder="1" applyAlignment="1" applyProtection="1">
      <alignment horizontal="center"/>
      <protection hidden="1"/>
    </xf>
    <xf numFmtId="0" fontId="36" fillId="0" borderId="91" xfId="161" applyFont="1" applyFill="1" applyBorder="1" applyAlignment="1" applyProtection="1">
      <alignment horizontal="center"/>
      <protection locked="0" hidden="1"/>
    </xf>
    <xf numFmtId="0" fontId="36" fillId="0" borderId="116" xfId="161" applyFont="1" applyFill="1" applyBorder="1" applyAlignment="1" applyProtection="1">
      <alignment horizontal="center"/>
      <protection locked="0" hidden="1"/>
    </xf>
    <xf numFmtId="0" fontId="35" fillId="0" borderId="88" xfId="161" applyFont="1" applyFill="1" applyBorder="1" applyProtection="1">
      <protection hidden="1"/>
    </xf>
    <xf numFmtId="0" fontId="35" fillId="0" borderId="2" xfId="161" applyFont="1" applyFill="1" applyBorder="1"/>
    <xf numFmtId="0" fontId="35" fillId="0" borderId="32" xfId="161" applyFont="1" applyFill="1" applyBorder="1"/>
    <xf numFmtId="0" fontId="35" fillId="0" borderId="2" xfId="161" applyFont="1" applyFill="1" applyBorder="1" applyAlignment="1" applyProtection="1">
      <alignment horizontal="left"/>
      <protection locked="0" hidden="1"/>
    </xf>
    <xf numFmtId="0" fontId="35" fillId="0" borderId="114" xfId="161" applyFont="1" applyFill="1" applyBorder="1" applyAlignment="1" applyProtection="1">
      <alignment horizontal="left"/>
      <protection locked="0" hidden="1"/>
    </xf>
    <xf numFmtId="0" fontId="35" fillId="0" borderId="9" xfId="161" applyFont="1" applyFill="1" applyBorder="1" applyProtection="1">
      <protection hidden="1"/>
    </xf>
    <xf numFmtId="0" fontId="35" fillId="0" borderId="0" xfId="161" applyFont="1" applyFill="1" applyBorder="1"/>
    <xf numFmtId="0" fontId="35" fillId="0" borderId="0" xfId="161" applyFont="1" applyFill="1" applyBorder="1" applyAlignment="1" applyProtection="1">
      <alignment horizontal="left"/>
      <protection locked="0" hidden="1"/>
    </xf>
    <xf numFmtId="0" fontId="44" fillId="0" borderId="21" xfId="161" applyFont="1" applyFill="1" applyBorder="1" applyAlignment="1" applyProtection="1">
      <alignment horizontal="left"/>
      <protection locked="0" hidden="1"/>
    </xf>
    <xf numFmtId="182" fontId="36" fillId="0" borderId="0" xfId="105" applyFont="1" applyFill="1" applyBorder="1" applyAlignment="1" applyProtection="1">
      <alignment horizontal="left"/>
      <protection locked="0" hidden="1"/>
    </xf>
    <xf numFmtId="4" fontId="36" fillId="0" borderId="21" xfId="161" applyNumberFormat="1" applyFont="1" applyFill="1" applyBorder="1" applyAlignment="1" applyProtection="1">
      <alignment horizontal="left"/>
      <protection locked="0" hidden="1"/>
    </xf>
    <xf numFmtId="4" fontId="41" fillId="0" borderId="21" xfId="161" applyNumberFormat="1" applyFont="1" applyFill="1" applyBorder="1" applyAlignment="1" applyProtection="1">
      <alignment horizontal="right"/>
      <protection locked="0" hidden="1"/>
    </xf>
    <xf numFmtId="4" fontId="35" fillId="0" borderId="21" xfId="161" applyNumberFormat="1" applyFont="1" applyFill="1" applyBorder="1" applyAlignment="1" applyProtection="1">
      <alignment horizontal="left"/>
      <protection locked="0" hidden="1"/>
    </xf>
    <xf numFmtId="0" fontId="35" fillId="0" borderId="21" xfId="161" applyFont="1" applyFill="1" applyBorder="1" applyAlignment="1" applyProtection="1">
      <alignment horizontal="left"/>
      <protection locked="0" hidden="1"/>
    </xf>
    <xf numFmtId="0" fontId="36" fillId="0" borderId="110" xfId="161" applyFont="1" applyFill="1" applyBorder="1" applyAlignment="1" applyProtection="1">
      <alignment horizontal="center"/>
      <protection hidden="1"/>
    </xf>
    <xf numFmtId="0" fontId="36" fillId="0" borderId="30" xfId="161" applyFont="1" applyFill="1" applyBorder="1" applyAlignment="1" applyProtection="1">
      <alignment horizontal="center"/>
      <protection hidden="1"/>
    </xf>
    <xf numFmtId="0" fontId="36" fillId="0" borderId="28" xfId="161" applyFont="1" applyFill="1" applyBorder="1" applyAlignment="1" applyProtection="1">
      <alignment horizontal="center"/>
      <protection hidden="1"/>
    </xf>
    <xf numFmtId="0" fontId="36" fillId="0" borderId="110" xfId="161" applyFont="1" applyFill="1" applyBorder="1" applyAlignment="1" applyProtection="1">
      <alignment horizontal="center"/>
      <protection locked="0" hidden="1"/>
    </xf>
    <xf numFmtId="0" fontId="36" fillId="0" borderId="28" xfId="161" applyFont="1" applyFill="1" applyBorder="1" applyAlignment="1" applyProtection="1">
      <alignment horizontal="center"/>
      <protection locked="0" hidden="1"/>
    </xf>
    <xf numFmtId="0" fontId="35" fillId="0" borderId="0" xfId="161" applyFont="1" applyFill="1" applyBorder="1" applyAlignment="1" applyProtection="1">
      <alignment horizontal="right"/>
      <protection hidden="1"/>
    </xf>
    <xf numFmtId="4" fontId="35" fillId="0" borderId="32" xfId="161" applyNumberFormat="1" applyFont="1" applyFill="1" applyBorder="1" applyAlignment="1" applyProtection="1">
      <alignment horizontal="center"/>
      <protection hidden="1"/>
    </xf>
    <xf numFmtId="0" fontId="35" fillId="0" borderId="0" xfId="161" applyFont="1" applyFill="1" applyBorder="1" applyAlignment="1" applyProtection="1">
      <alignment horizontal="center"/>
      <protection hidden="1"/>
    </xf>
    <xf numFmtId="4" fontId="35" fillId="0" borderId="21" xfId="161" applyNumberFormat="1" applyFont="1" applyFill="1" applyBorder="1" applyProtection="1">
      <protection hidden="1"/>
    </xf>
    <xf numFmtId="0" fontId="35" fillId="0" borderId="32" xfId="161" applyFont="1" applyFill="1" applyBorder="1" applyAlignment="1" applyProtection="1">
      <alignment horizontal="center"/>
      <protection hidden="1"/>
    </xf>
    <xf numFmtId="0" fontId="35" fillId="0" borderId="21" xfId="161" applyFont="1" applyFill="1" applyBorder="1" applyProtection="1">
      <protection hidden="1"/>
    </xf>
    <xf numFmtId="176" fontId="37" fillId="0" borderId="0" xfId="109" applyFont="1" applyFill="1"/>
    <xf numFmtId="2" fontId="37" fillId="0" borderId="0" xfId="129" applyNumberFormat="1" applyFont="1" applyFill="1"/>
    <xf numFmtId="0" fontId="37" fillId="0" borderId="0" xfId="129" applyFont="1" applyFill="1"/>
    <xf numFmtId="0" fontId="36" fillId="0" borderId="12" xfId="161" applyFont="1" applyFill="1" applyBorder="1" applyAlignment="1" applyProtection="1">
      <alignment horizontal="center"/>
      <protection hidden="1"/>
    </xf>
    <xf numFmtId="0" fontId="35" fillId="0" borderId="22" xfId="161" applyFont="1" applyFill="1" applyBorder="1" applyProtection="1">
      <protection hidden="1"/>
    </xf>
    <xf numFmtId="0" fontId="35" fillId="0" borderId="120" xfId="161" applyFont="1" applyFill="1" applyBorder="1" applyAlignment="1" applyProtection="1">
      <alignment horizontal="center"/>
      <protection hidden="1"/>
    </xf>
    <xf numFmtId="0" fontId="35" fillId="0" borderId="23" xfId="161" applyFont="1" applyFill="1" applyBorder="1" applyAlignment="1" applyProtection="1">
      <alignment horizontal="center"/>
      <protection hidden="1"/>
    </xf>
    <xf numFmtId="0" fontId="35" fillId="0" borderId="24" xfId="161" applyFont="1" applyFill="1" applyBorder="1" applyProtection="1">
      <protection hidden="1"/>
    </xf>
    <xf numFmtId="0" fontId="36" fillId="0" borderId="110" xfId="161" applyFont="1" applyFill="1" applyBorder="1" applyAlignment="1" applyProtection="1" quotePrefix="1">
      <alignment horizontal="left" vertical="center"/>
      <protection locked="0" hidden="1"/>
    </xf>
  </cellXfs>
  <cellStyles count="17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 % - Accent1 2" xfId="49"/>
    <cellStyle name="20 % - Accent2 2" xfId="50"/>
    <cellStyle name="20 % - Accent3 2" xfId="51"/>
    <cellStyle name="20 % - Accent4 2" xfId="52"/>
    <cellStyle name="20 % - Accent5 2" xfId="53"/>
    <cellStyle name="20 % - Accent6 2" xfId="54"/>
    <cellStyle name="40 % - Accent1 2" xfId="55"/>
    <cellStyle name="40 % - Accent2 2" xfId="56"/>
    <cellStyle name="40 % - Accent3 2" xfId="57"/>
    <cellStyle name="40 % - Accent4 2" xfId="58"/>
    <cellStyle name="40 % - Accent5 2" xfId="59"/>
    <cellStyle name="40 % - Accent6 2" xfId="60"/>
    <cellStyle name="60 % - Accent1 2" xfId="61"/>
    <cellStyle name="60 % - Accent2 2" xfId="62"/>
    <cellStyle name="60 % - Accent3 2" xfId="63"/>
    <cellStyle name="60 % - Accent4 2" xfId="64"/>
    <cellStyle name="60 % - Accent5 2" xfId="65"/>
    <cellStyle name="60 % - Accent6 2" xfId="66"/>
    <cellStyle name="Accent1 2" xfId="67"/>
    <cellStyle name="Accent2 2" xfId="68"/>
    <cellStyle name="Accent3 2" xfId="69"/>
    <cellStyle name="Accent4 2" xfId="70"/>
    <cellStyle name="Accent5 2" xfId="71"/>
    <cellStyle name="Accent6 2" xfId="72"/>
    <cellStyle name="Avertissement 2" xfId="73"/>
    <cellStyle name="Calcul 2" xfId="74"/>
    <cellStyle name="Cellule liée 2" xfId="75"/>
    <cellStyle name="Commentaire 2" xfId="76"/>
    <cellStyle name="Entrée 2" xfId="77"/>
    <cellStyle name="Euro" xfId="78"/>
    <cellStyle name="Euro 2" xfId="79"/>
    <cellStyle name="Euro 3" xfId="80"/>
    <cellStyle name="Explanatory Text" xfId="81"/>
    <cellStyle name="Insatisfaisant 2" xfId="82"/>
    <cellStyle name="l" xfId="83"/>
    <cellStyle name="l 2" xfId="84"/>
    <cellStyle name="l_55AO-Dufry" xfId="85"/>
    <cellStyle name="l_55AO-Dufry 2" xfId="86"/>
    <cellStyle name="l_55AO-R 5" xfId="87"/>
    <cellStyle name="l_55AO-R 5 2" xfId="88"/>
    <cellStyle name="l_55AO-R+7" xfId="89"/>
    <cellStyle name="l_55AO-R+7 2" xfId="90"/>
    <cellStyle name="l_AERONAVALE-4-EST" xfId="91"/>
    <cellStyle name="l_AERONAVALE-4-EST 2" xfId="92"/>
    <cellStyle name="l_AERONAVALE-HANG-11-7-01" xfId="93"/>
    <cellStyle name="l_AERONAVALE-HANG-11-7-01_BORD" xfId="94"/>
    <cellStyle name="l_BORD JUSTE  DU RIHAB LE 14.12.2009" xfId="95"/>
    <cellStyle name="l_bord le 09.11.2010" xfId="96"/>
    <cellStyle name="l_BORD PLOMB" xfId="97"/>
    <cellStyle name="l_BORD_Fluides" xfId="98"/>
    <cellStyle name="l_bord1" xfId="99"/>
    <cellStyle name="l_LU4-DEF" xfId="100"/>
    <cellStyle name="l_TEMARA   - LOT PEINT " xfId="101"/>
    <cellStyle name="l_TEMARA   - LOT PEINT  2" xfId="102"/>
    <cellStyle name="Lien hypertexte 2" xfId="103"/>
    <cellStyle name="Milliers 12" xfId="104"/>
    <cellStyle name="Milliers 2" xfId="105"/>
    <cellStyle name="Milliers 2 2" xfId="106"/>
    <cellStyle name="Milliers 2 3" xfId="107"/>
    <cellStyle name="Milliers 2_Xl0000122" xfId="108"/>
    <cellStyle name="Milliers 3" xfId="109"/>
    <cellStyle name="Milliers 4" xfId="110"/>
    <cellStyle name="Milliers 5" xfId="111"/>
    <cellStyle name="Milliers 6" xfId="112"/>
    <cellStyle name="Milliers 7" xfId="113"/>
    <cellStyle name="Milliers 8" xfId="114"/>
    <cellStyle name="Milliers 8 8" xfId="115"/>
    <cellStyle name="Milliers 9" xfId="116"/>
    <cellStyle name="NAJ" xfId="117"/>
    <cellStyle name="Neutre 2" xfId="118"/>
    <cellStyle name="Normal 10" xfId="119"/>
    <cellStyle name="Normal 11" xfId="120"/>
    <cellStyle name="Normal 12" xfId="121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129"/>
    <cellStyle name="Normal 2 2" xfId="130"/>
    <cellStyle name="Normal 2 2 2" xfId="131"/>
    <cellStyle name="Normal 2 3" xfId="132"/>
    <cellStyle name="Normal 2 4" xfId="133"/>
    <cellStyle name="Normal 2 5" xfId="134"/>
    <cellStyle name="Normal 2 7" xfId="135"/>
    <cellStyle name="Normal 20" xfId="136"/>
    <cellStyle name="Normal 21" xfId="137"/>
    <cellStyle name="Normal 22" xfId="138"/>
    <cellStyle name="Normal 23" xfId="139"/>
    <cellStyle name="Normal 24" xfId="140"/>
    <cellStyle name="Normal 25" xfId="141"/>
    <cellStyle name="Normal 26" xfId="142"/>
    <cellStyle name="Normal 27" xfId="143"/>
    <cellStyle name="Normal 28" xfId="144"/>
    <cellStyle name="Normal 29" xfId="145"/>
    <cellStyle name="Normal 3" xfId="146"/>
    <cellStyle name="Normal 3 2" xfId="147"/>
    <cellStyle name="Normal 3 2 2" xfId="148"/>
    <cellStyle name="Normal 3 3" xfId="149"/>
    <cellStyle name="Normal 3 4" xfId="150"/>
    <cellStyle name="Normal 30" xfId="151"/>
    <cellStyle name="Normal 31" xfId="152"/>
    <cellStyle name="Normal 4" xfId="153"/>
    <cellStyle name="Normal 4 2" xfId="154"/>
    <cellStyle name="Normal 5" xfId="155"/>
    <cellStyle name="Normal 5 2" xfId="156"/>
    <cellStyle name="Normal 6" xfId="157"/>
    <cellStyle name="Normal 7" xfId="158"/>
    <cellStyle name="Normal 8" xfId="159"/>
    <cellStyle name="Normal 9" xfId="160"/>
    <cellStyle name="Normal_lot3_dp1_0409" xfId="161"/>
    <cellStyle name="Pourcentage 2" xfId="162"/>
    <cellStyle name="Pourcentage 3" xfId="163"/>
    <cellStyle name="Satisfaisant 2" xfId="164"/>
    <cellStyle name="sl" xfId="165"/>
    <cellStyle name="Sortie 2" xfId="166"/>
    <cellStyle name="Texte explicatif 2" xfId="167"/>
    <cellStyle name="Titre 2" xfId="168"/>
    <cellStyle name="Titre 1 2" xfId="169"/>
    <cellStyle name="Titre 2 2" xfId="170"/>
    <cellStyle name="Titre 3 2" xfId="171"/>
    <cellStyle name="Titre 4 2" xfId="172"/>
    <cellStyle name="Total 2" xfId="173"/>
    <cellStyle name="Vérification 2" xfId="174"/>
    <cellStyle name="Virgule fixe" xfId="175"/>
  </cellStyles>
  <tableStyles count="0" defaultTableStyle="TableStyleMedium9" defaultPivotStyle="PivotStyleLight16"/>
  <colors>
    <mruColors>
      <color rgb="00003399"/>
      <color rgb="00996633"/>
      <color rgb="00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9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sistanat\rabia%20system\windows\TEMP\WINDOWS\Menu%20D&#233;marrer\partage%20batiment\rachih\Nas%20A1%20TEST%20DECOUPAG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mdoun\antivirus%20taika\Documents%20and%20Settings\Administrateur\Bureau\BETB\CNCA\PREF-BER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AFFAIRE%20ZONE%20INDUSTRIELLE%20KENITRA-TRANCHE%201\LOTS%20%20%20ZONE%20FRANCHE\LOT%202%20RESEAU%20EAU%20POTABLE\DECOMPTE\DP3%20AEP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d.docs.live.net/Documents%20and%20Settings/zouid.SOMANA.000/Mes%20documents/Mes%20Documents/Documentations%20Qualit&#233;/Documentations%20Qualit&#233;/Chapitre%207/7512%20PC%20Gestion%20informatis&#233;e%20du%20projet%20valid&#23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d.docs.live.net/data_nelgormat-0095/SEWS/ALEM%20RABAT/V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alidServer\InvalidShare\METRE%20D'ASSAINISSEME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partage%20mustapha\PROJET%20EN%20COURS\CITE%20CGI\Pi&#232;ces%20&#233;crites\M&#233;tr&#233;s\DCE\METRE%20REVETEMENT+BODEREAUX%20%202011%2006%2001%20TRANCH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FFAIRE%20ZONE%20INDUSTRIELLE%20KENITRA\ZONE%20HORS%20FRANCHE\RESEAUX\VOIRIE%20ET%20ASSAINISSEMENT\DEOMPTE\setup\OMRANE%20SAHEL%203eme%20TRANCHE\DOSSIER%20EL%20YAZID\TARGA%20CGI\ATTACHEMENT%20TARGA-CGI-\SITUATION%20N&#176;%204\METRE%20D'ASSAINISSEMENT%20TARGA%20ATT%20N&#176;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d.docs.live.net/data_nelgormat-0095/SEWS/ALEM%20RABAT/VEN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ssier%20technique\Ofertas\O.N.E\AO%20ST%2040137%20POSTE%2060%20KV%2028-01-04%20NOUACER\4B8053%20Poste%2060-22%20kV%20Nouaceur%20(JSL)\Presupuesto\NOUACEUR%20BORDEREAUX%20APPAREILLAGE%20HC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alidServer\InvalidShare\METRE%20D'ASSAINI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lhajoa\AppData\Local\Microsoft\Windows\Temporary%20Internet%20Files\Content.Outlook\IJQJDJ52\Assai-M&#233;tr&#233;-MEDZ-reg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alidServer\InvalidShare\M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ts\gtr\sidi%20abid\2-SIDI-ABID\PE2-AS21\imp-\T12-assainissement-PE5-re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PREV FONDATION TEST"/>
      <sheetName val="PREV RDCH TEST"/>
      <sheetName val="PREV 1 ER TEST"/>
      <sheetName val="PREV 2 EME TEST"/>
      <sheetName val="COUT FIXE TEST"/>
      <sheetName val="DUREE TEST"/>
      <sheetName val="Fourniture"/>
      <sheetName val="Personnel"/>
      <sheetName val="Matériel"/>
      <sheetName val="SPrevt+et"/>
      <sheetName val="SP go"/>
      <sheetName val="ind app ex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ST SOMM"/>
      <sheetName val="EST CONF"/>
      <sheetName val="MARCHE"/>
      <sheetName val="APPROV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euil2"/>
      <sheetName val="Attachement canalisation "/>
      <sheetName val="Bordereau Prix"/>
      <sheetName val="Approvisionnement "/>
      <sheetName val="DP3"/>
      <sheetName val="Facture"/>
      <sheetName val="Attachement pièce spécia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age garde"/>
      <sheetName val="Logigramme"/>
      <sheetName val="7512 01"/>
      <sheetName val="7512 02"/>
      <sheetName val="7512 03"/>
      <sheetName val="7512 04"/>
      <sheetName val="7512 05"/>
      <sheetName val="7512 06"/>
      <sheetName val="7512 07"/>
      <sheetName val="7512 08"/>
      <sheetName val="7512 09"/>
      <sheetName val="7512 10"/>
      <sheetName val="7512 11"/>
      <sheetName val="8230 03"/>
      <sheetName val="7512 12"/>
      <sheetName val="5100 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RPt"/>
      <sheetName val="VNT"/>
      <sheetName val="St I"/>
      <sheetName val="St II"/>
      <sheetName val="St III"/>
      <sheetName val="PG1"/>
      <sheetName val="PG2"/>
      <sheetName val="PG3"/>
      <sheetName val="S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n tete"/>
      <sheetName val="Terrassement E.U"/>
      <sheetName val="RECAP terra E.U"/>
      <sheetName val="Terrassement E.P"/>
      <sheetName val="RECAP terra E.P"/>
      <sheetName val="RECAP TERRASS EU+EP"/>
      <sheetName val="POSE DE BUSE E.U"/>
      <sheetName val="RECAP BUSES E.U"/>
      <sheetName val="POSE DE BUSE E.P"/>
      <sheetName val="RECAP BUSES E.P"/>
      <sheetName val="RECAP BUSES E U +E P"/>
      <sheetName val="OUVRAGES E.P"/>
      <sheetName val="RECAP OUVRAGES E.P"/>
      <sheetName val="OUVRAGES E.U"/>
      <sheetName val="RECAP OUVRAGES E.U"/>
      <sheetName val="RECAP OUVRAGES E.U + E P"/>
      <sheetName val="PUITS"/>
      <sheetName val="SITUATION N°4"/>
      <sheetName val="fiche FINANCIERE"/>
      <sheetName val="DP N°4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.RECAP "/>
      <sheetName val="1.GROS OEUVRE"/>
      <sheetName val="2.ETANCHEITE"/>
      <sheetName val="3.REVETEMENT   TR1"/>
      <sheetName val="4.MENUISERIE BOIS  TR1"/>
      <sheetName val="5.MENUISERIE ALUMINIUM  TR1"/>
      <sheetName val="6.MENUISERIE METALLIQUE TR1"/>
      <sheetName val="7.PEINTURE  TR1"/>
      <sheetName val="LES SURFACES"/>
      <sheetName val="PLANCHER"/>
      <sheetName val="CLOISON  bloc SUPERETTE "/>
      <sheetName val="CLOISON  bloc d'activité"/>
      <sheetName val="CLOISON PAVILLON A1"/>
      <sheetName val="CLOISON PAVILLON B2"/>
      <sheetName val="RENFORMIS"/>
      <sheetName val="AVANT METRE pavillon B"/>
      <sheetName val="AVANT METRE pavillon A"/>
      <sheetName val="AVANT METRE administaration rev"/>
      <sheetName val="AVANT METRE bloc activité"/>
      <sheetName val="CLOISON ADMINISTRATION"/>
      <sheetName val="AVANT METRE superette"/>
      <sheetName val="AVANT METRE BLOC SOCIO EDUCATIO"/>
      <sheetName val="4.REVETEMENT   TR2"/>
      <sheetName val="8.PEINTURE  TR2"/>
      <sheetName val="peinture des placa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 tete"/>
      <sheetName val="Terrassement E.U"/>
      <sheetName val="RECAP terra E.U"/>
      <sheetName val="Terrassement E.P"/>
      <sheetName val="RECAP terra E.P"/>
      <sheetName val="RECAP TERRASS EU+EP"/>
      <sheetName val="POSE DE BUSE E.U"/>
      <sheetName val="RECAP BUSES E.U"/>
      <sheetName val="POSE DE BUSE E.P"/>
      <sheetName val="RECAP BUSES E.P"/>
      <sheetName val="RECAP BUSES E U +E P"/>
      <sheetName val="OUVRAGES E.P"/>
      <sheetName val="RECAP OUVRAGES E.P"/>
      <sheetName val="OUVRAGES E.U"/>
      <sheetName val="RECAP OUVRAGES E.U"/>
      <sheetName val="RECAP OUVRAGES E.U + E P"/>
      <sheetName val="PUITS"/>
      <sheetName val="SITUATION N°4"/>
      <sheetName val="fiche FINANCIERE"/>
      <sheetName val="DP N°4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PS1"/>
      <sheetName val="VNT"/>
      <sheetName val="GRPt"/>
      <sheetName val="Graph1"/>
      <sheetName val="Chrono"/>
      <sheetName val="Explt"/>
      <sheetName val="St I"/>
      <sheetName val="St II"/>
      <sheetName val="St III"/>
      <sheetName val="REC"/>
      <sheetName val="PG1"/>
      <sheetName val="PG2"/>
      <sheetName val="PG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t of de Mando, Conrol"/>
      <sheetName val="alumbrado nouacer"/>
      <sheetName val="Costo Cu"/>
      <sheetName val="Embarrados"/>
      <sheetName val="Tierras"/>
      <sheetName val="Cables"/>
      <sheetName val="Montaje trafo"/>
      <sheetName val="Cambios"/>
      <sheetName val="Pruebas"/>
      <sheetName val="Pet of SA"/>
      <sheetName val="Pet of Bornas AT y MT"/>
      <sheetName val="Pet of M Segur"/>
      <sheetName val="Costos ind."/>
      <sheetName val="ANX SUB"/>
      <sheetName val="BASE"/>
      <sheetName val="TESORERIA SUB ELEC"/>
      <sheetName val="ANX SUB linea"/>
      <sheetName val="GENIE CIVIL"/>
      <sheetName val="ANX GC"/>
      <sheetName val="TESORERIA obra civil"/>
      <sheetName val="LIGNE COSTO"/>
      <sheetName val="LIGNE"/>
      <sheetName val="ANX LINEAS"/>
      <sheetName val="TESORERIA LINEAS"/>
      <sheetName val="Peticion cuadros Tit mellil"/>
      <sheetName val="Embarrados titi mellil"/>
      <sheetName val="Cables TIT MELLIL"/>
      <sheetName val="ANX SUB 11KV"/>
      <sheetName val="TESORERIA 11kv"/>
      <sheetName val="Poste 11kv  Tit mellil "/>
      <sheetName val="RECAP TIT MELLIL"/>
      <sheetName val="DEVIS PROJECT"/>
      <sheetName val="RECAP DELAI"/>
      <sheetName val="RECAP GENERAL PROJET"/>
      <sheetName val="FS PROJECT"/>
      <sheetName val="FS ADAPT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n tete"/>
      <sheetName val="Terrassement E.U"/>
      <sheetName val="RECAP terra E.U"/>
      <sheetName val="Terrassement E.P"/>
      <sheetName val="RECAP terra E.P"/>
      <sheetName val="RECAP TERRASS EU+EP"/>
      <sheetName val="POSE DE BUSE E.U"/>
      <sheetName val="RECAP BUSES E.U"/>
      <sheetName val="POSE DE BUSE E.P"/>
      <sheetName val="RECAP BUSES E.P"/>
      <sheetName val="RECAP BUSES E U +E P"/>
      <sheetName val="OUVRAGES E.P"/>
      <sheetName val="RECAP OUVRAGES E.P"/>
      <sheetName val="OUVRAGES E.U"/>
      <sheetName val="RECAP OUVRAGES E.U"/>
      <sheetName val="RECAP OUVRAGES E.U + E P"/>
      <sheetName val="PUITS"/>
      <sheetName val="SITUATION N°4"/>
      <sheetName val="fiche FINANCIERE"/>
      <sheetName val="DP N°4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n"/>
      <sheetName val="Reg"/>
      <sheetName val="exu"/>
      <sheetName val="donnees"/>
      <sheetName val="recapEP"/>
      <sheetName val="recapEU"/>
      <sheetName val="recap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n tete"/>
      <sheetName val="Terrassement E.U"/>
      <sheetName val="RECAP terra E.U"/>
      <sheetName val="Terrassement E.P"/>
      <sheetName val="RECAP terra E.P"/>
      <sheetName val="RECAP TERRASS EU+EP"/>
      <sheetName val="POSE DE BUSE E.U"/>
      <sheetName val="RECAP BUSES E.U"/>
      <sheetName val="POSE DE BUSE E.P"/>
      <sheetName val="RECAP BUSES E.P"/>
      <sheetName val="RECAP BUSES E U +E P"/>
      <sheetName val="OUVRAGES E.P"/>
      <sheetName val="RECAP OUVRAGES E.P"/>
      <sheetName val="OUVRAGES E.U"/>
      <sheetName val="RECAP OUVRAGES E.U"/>
      <sheetName val="RECAP OUVRAGES E.U + E P"/>
      <sheetName val="PUITS"/>
      <sheetName val="SITUATION N°4"/>
      <sheetName val="fiche FINANCIERE"/>
      <sheetName val="DP N°4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ana-"/>
      <sheetName val="reg-"/>
      <sheetName val="ter.A10"/>
      <sheetName val="ter.A10.1"/>
      <sheetName val="ter.A11"/>
      <sheetName val="ter.A10.2"/>
      <sheetName val="ter.A11.2"/>
      <sheetName val="ter.A11.3"/>
      <sheetName val="ter.A11.3.1"/>
      <sheetName val="ter.D1"/>
      <sheetName val="ter.D2"/>
      <sheetName val="ter.D"/>
      <sheetName val="ter.EUA11"/>
      <sheetName val="Feuil1"/>
      <sheetName val="cana"/>
      <sheetName val="reg"/>
      <sheetName val="re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B1:L94"/>
  <sheetViews>
    <sheetView view="pageBreakPreview" zoomScale="60" zoomScaleNormal="65" workbookViewId="0">
      <selection activeCell="F10" sqref="F10"/>
    </sheetView>
  </sheetViews>
  <sheetFormatPr defaultColWidth="35.712962962963" defaultRowHeight="13.8"/>
  <cols>
    <col min="1" max="1" width="4.57407407407407" style="403" customWidth="1"/>
    <col min="2" max="2" width="21.1388888888889" style="404" customWidth="1"/>
    <col min="3" max="3" width="24.5740740740741" style="404" customWidth="1"/>
    <col min="4" max="5" width="38.287037037037" style="404" customWidth="1"/>
    <col min="6" max="6" width="46" style="404" customWidth="1"/>
    <col min="7" max="7" width="13" style="403" customWidth="1"/>
    <col min="8" max="8" width="20" style="403" customWidth="1"/>
    <col min="9" max="9" width="26.712962962963" style="403" customWidth="1"/>
    <col min="10" max="10" width="15.712962962963" style="403" customWidth="1"/>
    <col min="11" max="248" width="11.4259259259259" style="403" customWidth="1"/>
    <col min="249" max="249" width="4.57407407407407" style="403" customWidth="1"/>
    <col min="250" max="250" width="20.287037037037" style="403" customWidth="1"/>
    <col min="251" max="251" width="18.287037037037" style="403" customWidth="1"/>
    <col min="252" max="16384" width="35.712962962963" style="403"/>
  </cols>
  <sheetData>
    <row r="1" ht="14.55"/>
    <row r="2" ht="21.95" customHeight="1" spans="2:6">
      <c r="B2" s="405" t="s">
        <v>0</v>
      </c>
      <c r="C2" s="406"/>
      <c r="D2" s="406"/>
      <c r="E2" s="407"/>
      <c r="F2" s="408"/>
    </row>
    <row r="3" ht="20.1" customHeight="1" spans="2:6">
      <c r="B3" s="409" t="s">
        <v>1</v>
      </c>
      <c r="C3" s="410"/>
      <c r="D3" s="411"/>
      <c r="E3" s="412" t="s">
        <v>2</v>
      </c>
      <c r="F3" s="413" t="s">
        <v>3</v>
      </c>
    </row>
    <row r="4" ht="39.75" customHeight="1" spans="2:6">
      <c r="B4" s="414" t="s">
        <v>4</v>
      </c>
      <c r="C4" s="415"/>
      <c r="D4" s="416"/>
      <c r="E4" s="417"/>
      <c r="F4" s="418"/>
    </row>
    <row r="5" ht="17.25" customHeight="1" spans="2:6">
      <c r="B5" s="419" t="s">
        <v>5</v>
      </c>
      <c r="C5" s="420"/>
      <c r="D5" s="421"/>
      <c r="E5" s="422" t="s">
        <v>6</v>
      </c>
      <c r="F5" s="423" t="s">
        <v>7</v>
      </c>
    </row>
    <row r="6" ht="16.5" customHeight="1" spans="2:6">
      <c r="B6" s="424" t="s">
        <v>8</v>
      </c>
      <c r="C6" s="420"/>
      <c r="D6" s="425"/>
      <c r="E6" s="426" t="s">
        <v>9</v>
      </c>
      <c r="F6" s="423" t="s">
        <v>10</v>
      </c>
    </row>
    <row r="7" ht="16.5" customHeight="1" spans="2:6">
      <c r="B7" s="424" t="s">
        <v>11</v>
      </c>
      <c r="C7" s="420"/>
      <c r="D7" s="425"/>
      <c r="E7" s="426" t="s">
        <v>12</v>
      </c>
      <c r="F7" s="427" t="s">
        <v>13</v>
      </c>
    </row>
    <row r="8" ht="16.5" customHeight="1" spans="2:6">
      <c r="B8" s="424" t="s">
        <v>14</v>
      </c>
      <c r="C8" s="428"/>
      <c r="D8" s="425"/>
      <c r="E8" s="429" t="s">
        <v>15</v>
      </c>
      <c r="F8" s="430" t="s">
        <v>16</v>
      </c>
    </row>
    <row r="9" ht="16.5" customHeight="1" spans="2:6">
      <c r="B9" s="424" t="s">
        <v>17</v>
      </c>
      <c r="C9" s="420"/>
      <c r="D9" s="425"/>
      <c r="E9" s="429" t="s">
        <v>18</v>
      </c>
      <c r="F9" s="430"/>
    </row>
    <row r="10" ht="16.5" customHeight="1" spans="2:6">
      <c r="B10" s="424" t="s">
        <v>19</v>
      </c>
      <c r="C10" s="428"/>
      <c r="D10" s="425"/>
      <c r="E10" s="429" t="s">
        <v>20</v>
      </c>
      <c r="F10" s="430">
        <f>+F9+F8</f>
        <v>2237944.3</v>
      </c>
    </row>
    <row r="11" ht="16.5" customHeight="1" spans="2:6">
      <c r="B11" s="424" t="s">
        <v>21</v>
      </c>
      <c r="C11" s="428"/>
      <c r="D11" s="425"/>
      <c r="E11" s="431"/>
      <c r="F11" s="432"/>
    </row>
    <row r="12" ht="16.5" customHeight="1" spans="2:6">
      <c r="B12" s="433"/>
      <c r="C12" s="434"/>
      <c r="D12" s="435"/>
      <c r="E12" s="436" t="s">
        <v>22</v>
      </c>
      <c r="F12" s="437">
        <f>ROUND(0.07*F10,2)</f>
        <v>156656.1</v>
      </c>
    </row>
    <row r="13" ht="16.5" customHeight="1" spans="2:6">
      <c r="B13" s="438"/>
      <c r="C13" s="439"/>
      <c r="D13" s="440"/>
      <c r="E13" s="441"/>
      <c r="F13" s="442"/>
    </row>
    <row r="14" s="401" customFormat="1" ht="24" customHeight="1" spans="2:6">
      <c r="B14" s="443" t="s">
        <v>23</v>
      </c>
      <c r="C14" s="551" t="s">
        <v>24</v>
      </c>
      <c r="D14" s="445"/>
      <c r="E14" s="446"/>
      <c r="F14" s="447"/>
    </row>
    <row r="15" s="401" customFormat="1" ht="24" customHeight="1" spans="2:6">
      <c r="B15" s="443" t="s">
        <v>25</v>
      </c>
      <c r="C15" s="448"/>
      <c r="D15" s="445"/>
      <c r="E15" s="446"/>
      <c r="F15" s="447"/>
    </row>
    <row r="16" ht="20.1" customHeight="1" spans="2:6">
      <c r="B16" s="449" t="s">
        <v>26</v>
      </c>
      <c r="C16" s="450">
        <f>F34</f>
        <v>148576.03</v>
      </c>
      <c r="D16" s="451"/>
      <c r="E16" s="452"/>
      <c r="F16" s="453"/>
    </row>
    <row r="17" ht="20.1" customHeight="1" spans="2:6">
      <c r="B17" s="454" t="s">
        <v>27</v>
      </c>
      <c r="C17" s="455">
        <f>+C16/1.2</f>
        <v>123813.358333333</v>
      </c>
      <c r="D17" s="456"/>
      <c r="E17" s="457"/>
      <c r="F17" s="458"/>
    </row>
    <row r="18" ht="16.5" customHeight="1" spans="2:6">
      <c r="B18" s="459" t="s">
        <v>28</v>
      </c>
      <c r="C18" s="460"/>
      <c r="D18" s="461" t="s">
        <v>29</v>
      </c>
      <c r="E18" s="462" t="s">
        <v>30</v>
      </c>
      <c r="F18" s="463" t="s">
        <v>31</v>
      </c>
    </row>
    <row r="19" ht="16.5" customHeight="1" spans="2:6">
      <c r="B19" s="464"/>
      <c r="C19" s="465"/>
      <c r="D19" s="465"/>
      <c r="E19" s="465"/>
      <c r="F19" s="466"/>
    </row>
    <row r="20" ht="20.1" customHeight="1" spans="2:6">
      <c r="B20" s="467" t="s">
        <v>32</v>
      </c>
      <c r="C20" s="468"/>
      <c r="D20" s="469"/>
      <c r="E20" s="470"/>
      <c r="F20" s="471"/>
    </row>
    <row r="21" ht="16.5" customHeight="1" spans="2:8">
      <c r="B21" s="472" t="s">
        <v>33</v>
      </c>
      <c r="C21" s="473"/>
      <c r="D21" s="474"/>
      <c r="E21" s="474"/>
      <c r="F21" s="475"/>
      <c r="H21" s="476"/>
    </row>
    <row r="22" ht="16.5" customHeight="1" spans="2:11">
      <c r="B22" s="477" t="s">
        <v>34</v>
      </c>
      <c r="C22" s="478"/>
      <c r="D22" s="479">
        <f>+'BP1'!J68</f>
        <v>316053.35182</v>
      </c>
      <c r="E22" s="480">
        <v>150968.87</v>
      </c>
      <c r="F22" s="481">
        <f>ROUND(D22-E22,2)</f>
        <v>165084.48</v>
      </c>
      <c r="G22" s="482"/>
      <c r="H22" s="483"/>
      <c r="I22" s="543"/>
      <c r="J22" s="544"/>
      <c r="K22" s="545"/>
    </row>
    <row r="23" ht="16.5" hidden="1" customHeight="1" spans="2:11">
      <c r="B23" s="484" t="s">
        <v>35</v>
      </c>
      <c r="C23" s="485"/>
      <c r="D23" s="486"/>
      <c r="E23" s="486">
        <v>0</v>
      </c>
      <c r="F23" s="487">
        <f>D23-E23</f>
        <v>0</v>
      </c>
      <c r="J23" s="545"/>
      <c r="K23" s="545"/>
    </row>
    <row r="24" ht="16.5" customHeight="1" spans="2:12">
      <c r="B24" s="484" t="s">
        <v>36</v>
      </c>
      <c r="C24" s="485"/>
      <c r="D24" s="486"/>
      <c r="E24" s="486"/>
      <c r="F24" s="487"/>
      <c r="J24" s="545"/>
      <c r="K24" s="545"/>
      <c r="L24" s="403">
        <v>202058.12</v>
      </c>
    </row>
    <row r="25" ht="16.5" customHeight="1" spans="2:11">
      <c r="B25" s="484" t="s">
        <v>36</v>
      </c>
      <c r="C25" s="485"/>
      <c r="D25" s="486"/>
      <c r="E25" s="486"/>
      <c r="F25" s="487"/>
      <c r="J25" s="545"/>
      <c r="K25" s="545"/>
    </row>
    <row r="26" ht="16.5" customHeight="1" spans="2:6">
      <c r="B26" s="477" t="s">
        <v>37</v>
      </c>
      <c r="C26" s="478"/>
      <c r="D26" s="479">
        <f>SUM(D22:D25)</f>
        <v>316053.35182</v>
      </c>
      <c r="E26" s="479">
        <f>+E22</f>
        <v>150968.87</v>
      </c>
      <c r="F26" s="481">
        <f>SUM(F22:F25)</f>
        <v>165084.48</v>
      </c>
    </row>
    <row r="27" ht="20.1" customHeight="1" spans="2:6">
      <c r="B27" s="488" t="s">
        <v>38</v>
      </c>
      <c r="C27" s="489"/>
      <c r="D27" s="490"/>
      <c r="E27" s="490"/>
      <c r="F27" s="491"/>
    </row>
    <row r="28" ht="16.5" customHeight="1" spans="2:6">
      <c r="B28" s="472" t="s">
        <v>39</v>
      </c>
      <c r="C28" s="473"/>
      <c r="D28" s="474"/>
      <c r="E28" s="474"/>
      <c r="F28" s="475"/>
    </row>
    <row r="29" ht="16.5" customHeight="1" spans="2:7">
      <c r="B29" s="484" t="s">
        <v>40</v>
      </c>
      <c r="C29" s="485"/>
      <c r="D29" s="486">
        <f>+MIN(D22*0.1,F12)</f>
        <v>31605.335182</v>
      </c>
      <c r="E29" s="486">
        <v>15096.89</v>
      </c>
      <c r="F29" s="487">
        <f>(D29-E29)</f>
        <v>16508.445182</v>
      </c>
      <c r="G29" s="476"/>
    </row>
    <row r="30" ht="16.5" customHeight="1" spans="2:6">
      <c r="B30" s="484" t="s">
        <v>41</v>
      </c>
      <c r="C30" s="485"/>
      <c r="D30" s="492"/>
      <c r="E30" s="486"/>
      <c r="F30" s="487"/>
    </row>
    <row r="31" ht="16.5" customHeight="1" spans="2:6">
      <c r="B31" s="484" t="s">
        <v>42</v>
      </c>
      <c r="C31" s="485"/>
      <c r="D31" s="486"/>
      <c r="E31" s="486"/>
      <c r="F31" s="487"/>
    </row>
    <row r="32" ht="16.5" customHeight="1" spans="2:6">
      <c r="B32" s="484" t="s">
        <v>43</v>
      </c>
      <c r="C32" s="493"/>
      <c r="D32" s="486"/>
      <c r="E32" s="486"/>
      <c r="F32" s="487"/>
    </row>
    <row r="33" s="402" customFormat="1" ht="16.5" customHeight="1" spans="2:6">
      <c r="B33" s="494" t="s">
        <v>44</v>
      </c>
      <c r="C33" s="495"/>
      <c r="D33" s="496">
        <f>SUM(D29:D32)</f>
        <v>31605.335182</v>
      </c>
      <c r="E33" s="496">
        <f>+E29</f>
        <v>15096.89</v>
      </c>
      <c r="F33" s="497">
        <f>ROUND(SUM(F28:F32),2)</f>
        <v>16508.45</v>
      </c>
    </row>
    <row r="34" ht="20.1" customHeight="1" spans="2:10">
      <c r="B34" s="488" t="s">
        <v>45</v>
      </c>
      <c r="C34" s="489"/>
      <c r="D34" s="490">
        <f>(D26-D33)</f>
        <v>284448.016638</v>
      </c>
      <c r="E34" s="490">
        <f>(E26-E33)</f>
        <v>135871.98</v>
      </c>
      <c r="F34" s="491">
        <f>ROUND((F26-F33),2)</f>
        <v>148576.03</v>
      </c>
      <c r="G34" s="476"/>
      <c r="H34" s="476"/>
      <c r="J34" s="544"/>
    </row>
    <row r="35" ht="16.5" customHeight="1" spans="2:6">
      <c r="B35" s="498" t="s">
        <v>46</v>
      </c>
      <c r="C35" s="499"/>
      <c r="D35" s="500"/>
      <c r="E35" s="500"/>
      <c r="F35" s="501"/>
    </row>
    <row r="36" ht="16.5" customHeight="1" spans="2:6">
      <c r="B36" s="502"/>
      <c r="C36" s="503"/>
      <c r="D36" s="504"/>
      <c r="E36" s="504"/>
      <c r="F36" s="505"/>
    </row>
    <row r="37" ht="25.5" customHeight="1" spans="2:6">
      <c r="B37" s="506"/>
      <c r="C37" s="507"/>
      <c r="D37" s="507"/>
      <c r="E37" s="507"/>
      <c r="F37" s="505"/>
    </row>
    <row r="38" ht="16.5" customHeight="1" spans="2:6">
      <c r="B38" s="508"/>
      <c r="C38" s="509"/>
      <c r="D38" s="510"/>
      <c r="E38" s="511"/>
      <c r="F38" s="512"/>
    </row>
    <row r="39" ht="15.75" customHeight="1" spans="2:6">
      <c r="B39" s="513" t="s">
        <v>47</v>
      </c>
      <c r="C39" s="514"/>
      <c r="D39" s="515"/>
      <c r="E39" s="516" t="s">
        <v>48</v>
      </c>
      <c r="F39" s="517"/>
    </row>
    <row r="40" ht="15.95" customHeight="1" spans="2:6">
      <c r="B40" s="518"/>
      <c r="C40" s="519"/>
      <c r="D40" s="520"/>
      <c r="E40" s="521"/>
      <c r="F40" s="522"/>
    </row>
    <row r="41" ht="15.95" customHeight="1" spans="2:6">
      <c r="B41" s="523"/>
      <c r="C41" s="524"/>
      <c r="D41" s="520"/>
      <c r="E41" s="525"/>
      <c r="F41" s="526"/>
    </row>
    <row r="42" ht="15.95" customHeight="1" spans="2:6">
      <c r="B42" s="523"/>
      <c r="C42" s="524"/>
      <c r="D42" s="520"/>
      <c r="E42" s="525"/>
      <c r="F42" s="505"/>
    </row>
    <row r="43" ht="15.95" customHeight="1" spans="2:6">
      <c r="B43" s="523"/>
      <c r="C43" s="524"/>
      <c r="D43" s="520"/>
      <c r="E43" s="527"/>
      <c r="F43" s="528"/>
    </row>
    <row r="44" ht="15.95" customHeight="1" spans="2:6">
      <c r="B44" s="523"/>
      <c r="C44" s="524"/>
      <c r="D44" s="520"/>
      <c r="E44" s="525"/>
      <c r="F44" s="529"/>
    </row>
    <row r="45" ht="15.95" customHeight="1" spans="2:6">
      <c r="B45" s="523"/>
      <c r="C45" s="524"/>
      <c r="D45" s="520"/>
      <c r="E45" s="525"/>
      <c r="F45" s="529"/>
    </row>
    <row r="46" ht="15.95" customHeight="1" spans="2:11">
      <c r="B46" s="523"/>
      <c r="C46" s="524"/>
      <c r="D46" s="520"/>
      <c r="E46" s="525"/>
      <c r="F46" s="529"/>
      <c r="K46" s="403">
        <v>186961.23</v>
      </c>
    </row>
    <row r="47" ht="15.95" customHeight="1" spans="2:6">
      <c r="B47" s="523"/>
      <c r="C47" s="524"/>
      <c r="D47" s="520"/>
      <c r="E47" s="525"/>
      <c r="F47" s="529"/>
    </row>
    <row r="48" ht="15.95" customHeight="1" spans="2:6">
      <c r="B48" s="523"/>
      <c r="C48" s="524"/>
      <c r="D48" s="520"/>
      <c r="E48" s="525"/>
      <c r="F48" s="529"/>
    </row>
    <row r="49" ht="15.95" customHeight="1" spans="2:6">
      <c r="B49" s="523"/>
      <c r="C49" s="524"/>
      <c r="D49" s="520"/>
      <c r="E49" s="525"/>
      <c r="F49" s="530"/>
    </row>
    <row r="50" ht="15.95" customHeight="1" spans="2:6">
      <c r="B50" s="523"/>
      <c r="C50" s="524"/>
      <c r="D50" s="520"/>
      <c r="E50" s="525"/>
      <c r="F50" s="531"/>
    </row>
    <row r="51" ht="15.95" customHeight="1" spans="4:5">
      <c r="D51" s="520"/>
      <c r="E51" s="525"/>
    </row>
    <row r="52" ht="15.95" customHeight="1" spans="2:6">
      <c r="B52" s="523"/>
      <c r="C52" s="524"/>
      <c r="D52" s="520"/>
      <c r="E52" s="525"/>
      <c r="F52" s="531"/>
    </row>
    <row r="53" ht="15.95" customHeight="1" spans="2:6">
      <c r="B53" s="523"/>
      <c r="C53" s="524"/>
      <c r="D53" s="520"/>
      <c r="E53" s="525"/>
      <c r="F53" s="531"/>
    </row>
    <row r="54" ht="15.95" customHeight="1" spans="2:6">
      <c r="B54" s="532" t="s">
        <v>49</v>
      </c>
      <c r="C54" s="533"/>
      <c r="D54" s="534"/>
      <c r="E54" s="535" t="s">
        <v>50</v>
      </c>
      <c r="F54" s="536"/>
    </row>
    <row r="55" ht="15.95" customHeight="1" spans="2:6">
      <c r="B55" s="523"/>
      <c r="C55" s="524"/>
      <c r="D55" s="520"/>
      <c r="E55" s="525"/>
      <c r="F55" s="531"/>
    </row>
    <row r="56" ht="15.95" customHeight="1" spans="2:6">
      <c r="B56" s="523"/>
      <c r="C56" s="524"/>
      <c r="D56" s="520"/>
      <c r="E56" s="525"/>
      <c r="F56" s="531"/>
    </row>
    <row r="57" ht="15.95" customHeight="1" spans="2:6">
      <c r="B57" s="523"/>
      <c r="C57" s="524"/>
      <c r="D57" s="520"/>
      <c r="E57" s="525"/>
      <c r="F57" s="531"/>
    </row>
    <row r="58" ht="15.95" customHeight="1" spans="2:6">
      <c r="B58" s="523"/>
      <c r="C58" s="524"/>
      <c r="D58" s="520"/>
      <c r="E58" s="525"/>
      <c r="F58" s="531"/>
    </row>
    <row r="59" ht="15.95" customHeight="1" spans="2:6">
      <c r="B59" s="523"/>
      <c r="C59" s="524"/>
      <c r="D59" s="520"/>
      <c r="E59" s="525"/>
      <c r="F59" s="531"/>
    </row>
    <row r="60" ht="15.95" customHeight="1" spans="2:6">
      <c r="B60" s="523"/>
      <c r="C60" s="524"/>
      <c r="D60" s="520"/>
      <c r="E60" s="525"/>
      <c r="F60" s="531"/>
    </row>
    <row r="61" ht="15.95" customHeight="1" spans="2:6">
      <c r="B61" s="452" t="s">
        <v>51</v>
      </c>
      <c r="C61" s="537"/>
      <c r="D61" s="538"/>
      <c r="E61" s="539"/>
      <c r="F61" s="540"/>
    </row>
    <row r="62" ht="15.95" customHeight="1" spans="2:6">
      <c r="B62" s="452" t="s">
        <v>51</v>
      </c>
      <c r="C62" s="537"/>
      <c r="D62" s="520"/>
      <c r="E62" s="525"/>
      <c r="F62" s="531"/>
    </row>
    <row r="63" ht="15.95" customHeight="1" spans="2:6">
      <c r="B63" s="452" t="s">
        <v>51</v>
      </c>
      <c r="C63" s="537"/>
      <c r="D63" s="538"/>
      <c r="E63" s="539"/>
      <c r="F63" s="540"/>
    </row>
    <row r="64" ht="15.95" customHeight="1" spans="2:6">
      <c r="B64" s="452" t="s">
        <v>51</v>
      </c>
      <c r="C64" s="537"/>
      <c r="D64" s="541"/>
      <c r="E64" s="539"/>
      <c r="F64" s="542"/>
    </row>
    <row r="65" ht="15.95" customHeight="1" spans="2:6">
      <c r="B65" s="452"/>
      <c r="C65" s="503"/>
      <c r="D65" s="541"/>
      <c r="E65" s="539"/>
      <c r="F65" s="542"/>
    </row>
    <row r="66" ht="15.95" customHeight="1" spans="2:6">
      <c r="B66" s="452"/>
      <c r="C66" s="503"/>
      <c r="D66" s="541"/>
      <c r="E66" s="539"/>
      <c r="F66" s="542"/>
    </row>
    <row r="67" ht="15.95" customHeight="1" spans="2:6">
      <c r="B67" s="452"/>
      <c r="C67" s="503"/>
      <c r="D67" s="541"/>
      <c r="E67" s="539"/>
      <c r="F67" s="542"/>
    </row>
    <row r="68" ht="15.95" customHeight="1"/>
    <row r="69" ht="15.95" customHeight="1" spans="2:6">
      <c r="B69" s="546" t="s">
        <v>52</v>
      </c>
      <c r="C69" s="533"/>
      <c r="D69" s="534"/>
      <c r="E69" s="535" t="s">
        <v>53</v>
      </c>
      <c r="F69" s="423"/>
    </row>
    <row r="70" ht="15.95" customHeight="1" spans="2:6">
      <c r="B70" s="452"/>
      <c r="C70" s="503"/>
      <c r="D70" s="541"/>
      <c r="E70" s="539"/>
      <c r="F70" s="542"/>
    </row>
    <row r="71" ht="15.95" customHeight="1" spans="2:6">
      <c r="B71" s="452"/>
      <c r="C71" s="503"/>
      <c r="D71" s="541"/>
      <c r="E71" s="539"/>
      <c r="F71" s="542"/>
    </row>
    <row r="72" ht="15.95" customHeight="1" spans="2:6">
      <c r="B72" s="452"/>
      <c r="C72" s="503"/>
      <c r="D72" s="541"/>
      <c r="E72" s="539"/>
      <c r="F72" s="542"/>
    </row>
    <row r="73" ht="15.95" customHeight="1" spans="2:6">
      <c r="B73" s="452"/>
      <c r="C73" s="503"/>
      <c r="D73" s="541"/>
      <c r="E73" s="539"/>
      <c r="F73" s="542"/>
    </row>
    <row r="74" ht="15.95" customHeight="1" spans="2:6">
      <c r="B74" s="452"/>
      <c r="C74" s="503"/>
      <c r="D74" s="541"/>
      <c r="E74" s="539"/>
      <c r="F74" s="542"/>
    </row>
    <row r="75" ht="15.95" customHeight="1" spans="2:6">
      <c r="B75" s="452"/>
      <c r="C75" s="503"/>
      <c r="D75" s="541"/>
      <c r="E75" s="539"/>
      <c r="F75" s="542"/>
    </row>
    <row r="76" ht="15.95" customHeight="1" spans="2:6">
      <c r="B76" s="452"/>
      <c r="C76" s="503"/>
      <c r="D76" s="541"/>
      <c r="E76" s="539"/>
      <c r="F76" s="542"/>
    </row>
    <row r="77" ht="15.95" customHeight="1" spans="2:6">
      <c r="B77" s="452"/>
      <c r="C77" s="503"/>
      <c r="D77" s="541"/>
      <c r="E77" s="539"/>
      <c r="F77" s="542"/>
    </row>
    <row r="78" ht="15.95" customHeight="1" spans="2:6">
      <c r="B78" s="452"/>
      <c r="C78" s="503"/>
      <c r="D78" s="541"/>
      <c r="E78" s="539"/>
      <c r="F78" s="542"/>
    </row>
    <row r="79" ht="15.95" customHeight="1" spans="2:6">
      <c r="B79" s="452"/>
      <c r="C79" s="503"/>
      <c r="D79" s="541"/>
      <c r="E79" s="539"/>
      <c r="F79" s="542"/>
    </row>
    <row r="80" ht="15.95" customHeight="1" spans="2:6">
      <c r="B80" s="452"/>
      <c r="C80" s="503"/>
      <c r="D80" s="541"/>
      <c r="E80" s="539"/>
      <c r="F80" s="542"/>
    </row>
    <row r="81" ht="15.95" customHeight="1" spans="2:6">
      <c r="B81" s="452"/>
      <c r="C81" s="503"/>
      <c r="D81" s="541"/>
      <c r="E81" s="539"/>
      <c r="F81" s="542"/>
    </row>
    <row r="82" ht="15.95" customHeight="1" spans="2:6">
      <c r="B82" s="523"/>
      <c r="C82" s="503"/>
      <c r="D82" s="541"/>
      <c r="E82" s="539"/>
      <c r="F82" s="542"/>
    </row>
    <row r="83" ht="15.95" customHeight="1" spans="2:6">
      <c r="B83" s="523"/>
      <c r="C83" s="503"/>
      <c r="D83" s="541"/>
      <c r="E83" s="539"/>
      <c r="F83" s="542"/>
    </row>
    <row r="84" ht="15.95" customHeight="1" spans="2:6">
      <c r="B84" s="523"/>
      <c r="C84" s="503"/>
      <c r="D84" s="541"/>
      <c r="E84" s="539"/>
      <c r="F84" s="542"/>
    </row>
    <row r="85" ht="15.95" customHeight="1" spans="2:6">
      <c r="B85" s="523" t="s">
        <v>54</v>
      </c>
      <c r="C85" s="503"/>
      <c r="D85" s="541"/>
      <c r="E85" s="539"/>
      <c r="F85" s="542"/>
    </row>
    <row r="86" ht="15.95" customHeight="1" spans="2:6">
      <c r="B86" s="523" t="s">
        <v>55</v>
      </c>
      <c r="C86" s="503"/>
      <c r="D86" s="541"/>
      <c r="E86" s="539"/>
      <c r="F86" s="542"/>
    </row>
    <row r="87" ht="15.95" customHeight="1" spans="2:6">
      <c r="B87" s="523" t="s">
        <v>56</v>
      </c>
      <c r="C87" s="503"/>
      <c r="D87" s="541"/>
      <c r="E87" s="539"/>
      <c r="F87" s="542"/>
    </row>
    <row r="88" ht="15.95" customHeight="1" spans="2:6">
      <c r="B88" s="523" t="s">
        <v>57</v>
      </c>
      <c r="C88" s="503"/>
      <c r="D88" s="541"/>
      <c r="E88" s="539"/>
      <c r="F88" s="542"/>
    </row>
    <row r="89" ht="15.95" customHeight="1" spans="2:6">
      <c r="B89" s="547" t="s">
        <v>58</v>
      </c>
      <c r="C89" s="509"/>
      <c r="D89" s="548"/>
      <c r="E89" s="549"/>
      <c r="F89" s="550"/>
    </row>
    <row r="90" spans="2:6">
      <c r="B90" s="524"/>
      <c r="F90" s="524"/>
    </row>
    <row r="91" spans="2:6">
      <c r="B91" s="524"/>
      <c r="F91" s="524"/>
    </row>
    <row r="92" spans="2:6">
      <c r="B92" s="524"/>
      <c r="F92" s="524"/>
    </row>
    <row r="93" spans="2:6">
      <c r="B93" s="524"/>
      <c r="F93" s="524"/>
    </row>
    <row r="94" spans="2:6">
      <c r="B94" s="524"/>
      <c r="F94" s="524"/>
    </row>
  </sheetData>
  <mergeCells count="30">
    <mergeCell ref="B2:F2"/>
    <mergeCell ref="C3:D3"/>
    <mergeCell ref="C4:D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9:D39"/>
    <mergeCell ref="E39:F39"/>
    <mergeCell ref="B54:D54"/>
    <mergeCell ref="E54:F54"/>
    <mergeCell ref="B69:D69"/>
    <mergeCell ref="E69:F69"/>
    <mergeCell ref="D18:D19"/>
    <mergeCell ref="E3:E4"/>
    <mergeCell ref="E18:E19"/>
    <mergeCell ref="F3:F4"/>
    <mergeCell ref="F18:F19"/>
    <mergeCell ref="B12:D13"/>
    <mergeCell ref="B18:C19"/>
  </mergeCells>
  <printOptions horizontalCentered="1"/>
  <pageMargins left="0.275590551181102" right="0.275590551181102" top="0.393700787401575" bottom="0" header="0.393700787401575" footer="0.393700787401575"/>
  <pageSetup paperSize="9" scale="54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139"/>
  <sheetViews>
    <sheetView tabSelected="1" view="pageBreakPreview" zoomScale="85" zoomScaleNormal="85" workbookViewId="0">
      <selection activeCell="R139" sqref="A1:R139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0" width="12.1388888888889" style="8" customWidth="1"/>
    <col min="11" max="11" width="11.4259259259259" style="8" customWidth="1"/>
    <col min="12" max="12" width="12.8518518518519" style="8" customWidth="1"/>
    <col min="13" max="13" width="15.8518518518519" style="8" customWidth="1"/>
    <col min="14" max="14" width="13.712962962963" style="8" customWidth="1"/>
    <col min="15" max="15" width="13.4259259259259" style="8" customWidth="1"/>
    <col min="16" max="16" width="12" style="8" customWidth="1"/>
    <col min="17" max="17" width="13.4259259259259" customWidth="1"/>
    <col min="18" max="18" width="14.138888888888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9" t="s">
        <v>231</v>
      </c>
      <c r="B1" s="10"/>
      <c r="C1" s="11"/>
      <c r="D1" s="11"/>
      <c r="E1" s="11"/>
      <c r="F1" s="11"/>
      <c r="G1" s="11"/>
      <c r="H1" s="12"/>
      <c r="I1" s="55"/>
      <c r="J1" s="55"/>
      <c r="K1" s="55"/>
      <c r="L1" s="56" t="s">
        <v>308</v>
      </c>
      <c r="M1" s="56"/>
      <c r="N1" s="57"/>
      <c r="O1" s="57"/>
      <c r="P1" s="58" t="s">
        <v>270</v>
      </c>
      <c r="Q1" s="76"/>
      <c r="R1" s="77"/>
    </row>
    <row r="2" ht="12.75" customHeight="1" spans="1:18">
      <c r="A2" s="13"/>
      <c r="B2" s="14"/>
      <c r="C2" s="15"/>
      <c r="D2" s="15"/>
      <c r="E2" s="15"/>
      <c r="F2" s="15"/>
      <c r="G2" s="15"/>
      <c r="I2" s="59"/>
      <c r="J2" s="59"/>
      <c r="K2" s="59"/>
      <c r="L2" s="60" t="s">
        <v>286</v>
      </c>
      <c r="M2" s="60"/>
      <c r="N2" s="61"/>
      <c r="O2" s="61"/>
      <c r="P2" s="62"/>
      <c r="Q2" s="61"/>
      <c r="R2" s="78"/>
    </row>
    <row r="3" s="1" customFormat="1" ht="21" customHeight="1" spans="1:18">
      <c r="A3" s="16" t="s">
        <v>235</v>
      </c>
      <c r="B3" s="17" t="s">
        <v>236</v>
      </c>
      <c r="C3" s="18" t="s">
        <v>237</v>
      </c>
      <c r="D3" s="17" t="s">
        <v>238</v>
      </c>
      <c r="E3" s="17"/>
      <c r="F3" s="17" t="s">
        <v>239</v>
      </c>
      <c r="G3" s="19" t="s">
        <v>240</v>
      </c>
      <c r="H3" s="20" t="s">
        <v>241</v>
      </c>
      <c r="I3" s="63" t="s">
        <v>242</v>
      </c>
      <c r="J3" s="64"/>
      <c r="K3" s="64"/>
      <c r="L3" s="64"/>
      <c r="M3" s="64"/>
      <c r="N3" s="64"/>
      <c r="O3" s="64"/>
      <c r="P3" s="64"/>
      <c r="Q3" s="64"/>
      <c r="R3" s="79"/>
    </row>
    <row r="4" s="1" customFormat="1" ht="15.75" customHeight="1" spans="1:18">
      <c r="A4" s="21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80" t="s">
        <v>252</v>
      </c>
    </row>
    <row r="5" s="2" customFormat="1" ht="14.25" customHeight="1" spans="1:18">
      <c r="A5" s="26" t="s">
        <v>253</v>
      </c>
      <c r="B5" s="27"/>
      <c r="C5" s="27"/>
      <c r="D5" s="27"/>
      <c r="E5" s="27"/>
      <c r="F5" s="27"/>
      <c r="G5" s="27"/>
      <c r="H5" s="2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81" t="str">
        <f>IF(E5=40,(H5*G5*9.866)," ")</f>
        <v> </v>
      </c>
    </row>
    <row r="6" s="2" customFormat="1" ht="12" customHeight="1" spans="1:18">
      <c r="A6" s="29" t="s">
        <v>309</v>
      </c>
      <c r="B6" s="30"/>
      <c r="C6" s="31"/>
      <c r="D6" s="32"/>
      <c r="E6" s="32"/>
      <c r="F6" s="33"/>
      <c r="G6" s="33"/>
      <c r="H6" s="34"/>
      <c r="I6" s="66" t="str">
        <f t="shared" ref="I6:I12" si="0">IF(E6=6,(G6*H6*0.222)," ")</f>
        <v> </v>
      </c>
      <c r="J6" s="66" t="str">
        <f t="shared" ref="J6:J12" si="1">IF(E6=8,(H6*G6*0.395)," ")</f>
        <v> </v>
      </c>
      <c r="K6" s="66" t="str">
        <f t="shared" ref="K6:K12" si="2">IF(E6=10,(G6*H6*0.617)," ")</f>
        <v> </v>
      </c>
      <c r="L6" s="66" t="str">
        <f t="shared" ref="L6:L12" si="3">IF(E6=12,(H6*G6*0.888)," ")</f>
        <v> </v>
      </c>
      <c r="M6" s="66" t="str">
        <f t="shared" ref="M6:M12" si="4">IF(E6=14,(H6*G6*1.208)," ")</f>
        <v> </v>
      </c>
      <c r="N6" s="66" t="str">
        <f t="shared" ref="N6:N12" si="5">IF(E6=16,(H6*G6*1.578)," ")</f>
        <v> </v>
      </c>
      <c r="O6" s="66" t="str">
        <f t="shared" ref="O6:O12" si="6">IF(E6=20,(H6*G6*2.466)," ")</f>
        <v> </v>
      </c>
      <c r="P6" s="66" t="str">
        <f t="shared" ref="P6:P12" si="7">IF(E6=25,(H6*G6*3.854)," ")</f>
        <v> </v>
      </c>
      <c r="Q6" s="66" t="str">
        <f t="shared" ref="Q6:Q12" si="8">IF(E6=32,(H6*G6*6.314)," ")</f>
        <v> </v>
      </c>
      <c r="R6" s="81" t="str">
        <f t="shared" ref="R6:R12" si="9">IF(E6=40,(H6*G6*9.866)," ")</f>
        <v> </v>
      </c>
    </row>
    <row r="7" s="2" customFormat="1" ht="12" customHeight="1" spans="1:18">
      <c r="A7" s="35"/>
      <c r="B7" s="36"/>
      <c r="C7" s="33">
        <v>3</v>
      </c>
      <c r="D7" s="32" t="s">
        <v>256</v>
      </c>
      <c r="E7" s="32">
        <v>16</v>
      </c>
      <c r="F7" s="33">
        <v>1</v>
      </c>
      <c r="G7" s="33">
        <f t="shared" ref="G7:G11" si="10">F7*C7</f>
        <v>3</v>
      </c>
      <c r="H7" s="34">
        <v>5.24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 t="str">
        <f t="shared" si="3"/>
        <v> </v>
      </c>
      <c r="M7" s="66" t="str">
        <f t="shared" si="4"/>
        <v> </v>
      </c>
      <c r="N7" s="66">
        <f t="shared" si="5"/>
        <v>24.80616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81" t="str">
        <f t="shared" si="9"/>
        <v> </v>
      </c>
    </row>
    <row r="8" s="2" customFormat="1" ht="12" customHeight="1" spans="1:18">
      <c r="A8" s="35"/>
      <c r="B8" s="33"/>
      <c r="C8" s="33">
        <v>3</v>
      </c>
      <c r="D8" s="32" t="s">
        <v>256</v>
      </c>
      <c r="E8" s="32">
        <v>16</v>
      </c>
      <c r="F8" s="33">
        <v>1</v>
      </c>
      <c r="G8" s="33">
        <f t="shared" si="10"/>
        <v>3</v>
      </c>
      <c r="H8" s="34">
        <v>4.43</v>
      </c>
      <c r="I8" s="66" t="str">
        <f t="shared" si="0"/>
        <v> </v>
      </c>
      <c r="J8" s="66" t="str">
        <f t="shared" si="1"/>
        <v> </v>
      </c>
      <c r="K8" s="66" t="str">
        <f t="shared" si="2"/>
        <v> </v>
      </c>
      <c r="L8" s="66" t="str">
        <f t="shared" si="3"/>
        <v> </v>
      </c>
      <c r="M8" s="66" t="str">
        <f t="shared" si="4"/>
        <v> </v>
      </c>
      <c r="N8" s="66">
        <f t="shared" si="5"/>
        <v>20.97162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81" t="str">
        <f t="shared" si="9"/>
        <v> </v>
      </c>
    </row>
    <row r="9" s="2" customFormat="1" ht="12" customHeight="1" spans="1:18">
      <c r="A9" s="35"/>
      <c r="B9" s="36"/>
      <c r="C9" s="33">
        <v>33</v>
      </c>
      <c r="D9" s="32" t="s">
        <v>256</v>
      </c>
      <c r="E9" s="32">
        <v>6</v>
      </c>
      <c r="F9" s="33">
        <v>1</v>
      </c>
      <c r="G9" s="33">
        <f t="shared" si="10"/>
        <v>33</v>
      </c>
      <c r="H9" s="34">
        <v>0.55</v>
      </c>
      <c r="I9" s="66">
        <f t="shared" si="0"/>
        <v>4.0293</v>
      </c>
      <c r="J9" s="66" t="str">
        <f t="shared" si="1"/>
        <v> </v>
      </c>
      <c r="K9" s="66" t="str">
        <f t="shared" si="2"/>
        <v> 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81" t="str">
        <f t="shared" si="9"/>
        <v> </v>
      </c>
    </row>
    <row r="10" s="2" customFormat="1" ht="12" customHeight="1" spans="1:18">
      <c r="A10" s="35"/>
      <c r="B10" s="33"/>
      <c r="C10" s="33">
        <v>3</v>
      </c>
      <c r="D10" s="32" t="s">
        <v>256</v>
      </c>
      <c r="E10" s="32">
        <v>12</v>
      </c>
      <c r="F10" s="33">
        <v>1</v>
      </c>
      <c r="G10" s="33">
        <f t="shared" si="10"/>
        <v>3</v>
      </c>
      <c r="H10" s="34">
        <v>3.69</v>
      </c>
      <c r="I10" s="66" t="str">
        <f t="shared" si="0"/>
        <v> </v>
      </c>
      <c r="J10" s="66" t="str">
        <f t="shared" si="1"/>
        <v> </v>
      </c>
      <c r="K10" s="66" t="str">
        <f t="shared" si="2"/>
        <v> </v>
      </c>
      <c r="L10" s="66">
        <f t="shared" si="3"/>
        <v>9.83016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81" t="str">
        <f t="shared" si="9"/>
        <v> </v>
      </c>
    </row>
    <row r="11" s="2" customFormat="1" ht="12" customHeight="1" spans="1:18">
      <c r="A11" s="35"/>
      <c r="B11" s="36"/>
      <c r="C11" s="33">
        <v>33</v>
      </c>
      <c r="D11" s="32" t="s">
        <v>256</v>
      </c>
      <c r="E11" s="32">
        <v>6</v>
      </c>
      <c r="F11" s="33">
        <v>1</v>
      </c>
      <c r="G11" s="33">
        <f t="shared" si="10"/>
        <v>33</v>
      </c>
      <c r="H11" s="34">
        <v>1.38</v>
      </c>
      <c r="I11" s="66">
        <f t="shared" si="0"/>
        <v>10.10988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81" t="str">
        <f t="shared" si="9"/>
        <v> </v>
      </c>
    </row>
    <row r="12" s="2" customFormat="1" ht="12" customHeight="1" spans="1:18">
      <c r="A12" s="37"/>
      <c r="B12" s="38"/>
      <c r="C12" s="38"/>
      <c r="D12" s="39"/>
      <c r="E12" s="39"/>
      <c r="F12" s="38"/>
      <c r="G12" s="38"/>
      <c r="H12" s="40"/>
      <c r="I12" s="66" t="str">
        <f t="shared" si="0"/>
        <v> </v>
      </c>
      <c r="J12" s="66" t="str">
        <f t="shared" si="1"/>
        <v> </v>
      </c>
      <c r="K12" s="66" t="str">
        <f t="shared" si="2"/>
        <v> </v>
      </c>
      <c r="L12" s="66" t="str">
        <f t="shared" si="3"/>
        <v> </v>
      </c>
      <c r="M12" s="66" t="str">
        <f t="shared" si="4"/>
        <v> </v>
      </c>
      <c r="N12" s="66" t="str">
        <f t="shared" si="5"/>
        <v> </v>
      </c>
      <c r="O12" s="66" t="str">
        <f t="shared" si="6"/>
        <v> </v>
      </c>
      <c r="P12" s="66" t="str">
        <f t="shared" si="7"/>
        <v> </v>
      </c>
      <c r="Q12" s="66" t="str">
        <f t="shared" si="8"/>
        <v> </v>
      </c>
      <c r="R12" s="81" t="str">
        <f t="shared" si="9"/>
        <v> </v>
      </c>
    </row>
    <row r="13" ht="17.25" customHeight="1" spans="1:21">
      <c r="A13" s="41" t="s">
        <v>259</v>
      </c>
      <c r="B13" s="42"/>
      <c r="C13" s="42"/>
      <c r="D13" s="42"/>
      <c r="E13" s="42"/>
      <c r="F13" s="42"/>
      <c r="G13" s="42"/>
      <c r="H13" s="43"/>
      <c r="I13" s="67">
        <v>0.222</v>
      </c>
      <c r="J13" s="68">
        <v>0.397</v>
      </c>
      <c r="K13" s="69">
        <v>0.617</v>
      </c>
      <c r="L13" s="69">
        <v>0.888</v>
      </c>
      <c r="M13" s="69">
        <v>1.208</v>
      </c>
      <c r="N13" s="68">
        <v>1.576</v>
      </c>
      <c r="O13" s="68">
        <v>2.47</v>
      </c>
      <c r="P13" s="69">
        <v>3.854</v>
      </c>
      <c r="Q13" s="69">
        <v>6.313</v>
      </c>
      <c r="R13" s="82">
        <v>9.866</v>
      </c>
      <c r="T13" s="83"/>
      <c r="U13" s="83"/>
    </row>
    <row r="14" ht="15" customHeight="1" spans="1:21">
      <c r="A14" s="44" t="s">
        <v>260</v>
      </c>
      <c r="B14" s="45"/>
      <c r="C14" s="45"/>
      <c r="D14" s="45"/>
      <c r="E14" s="45"/>
      <c r="F14" s="45"/>
      <c r="G14" s="45"/>
      <c r="H14" s="46"/>
      <c r="I14" s="70">
        <f>SUM(I5:I12)</f>
        <v>14.13918</v>
      </c>
      <c r="J14" s="70">
        <f t="shared" ref="J14:R14" si="11">SUM(J5:J12)</f>
        <v>0</v>
      </c>
      <c r="K14" s="70">
        <f t="shared" si="11"/>
        <v>0</v>
      </c>
      <c r="L14" s="70">
        <f t="shared" si="11"/>
        <v>9.83016</v>
      </c>
      <c r="M14" s="70">
        <f t="shared" si="11"/>
        <v>0</v>
      </c>
      <c r="N14" s="70">
        <f t="shared" si="11"/>
        <v>45.77778</v>
      </c>
      <c r="O14" s="70">
        <f t="shared" si="11"/>
        <v>0</v>
      </c>
      <c r="P14" s="70">
        <f t="shared" si="11"/>
        <v>0</v>
      </c>
      <c r="Q14" s="70">
        <f t="shared" si="11"/>
        <v>0</v>
      </c>
      <c r="R14" s="84">
        <f t="shared" si="11"/>
        <v>0</v>
      </c>
      <c r="T14" s="83"/>
      <c r="U14" s="83"/>
    </row>
    <row r="15" s="3" customFormat="1" ht="16.5" customHeight="1" spans="1:21">
      <c r="A15" s="47" t="s">
        <v>261</v>
      </c>
      <c r="B15" s="48"/>
      <c r="C15" s="48"/>
      <c r="D15" s="48"/>
      <c r="E15" s="48"/>
      <c r="F15" s="48"/>
      <c r="G15" s="48"/>
      <c r="H15" s="49"/>
      <c r="I15" s="71"/>
      <c r="J15" s="72"/>
      <c r="K15" s="72"/>
      <c r="L15" s="72"/>
      <c r="M15" s="72"/>
      <c r="N15" s="72"/>
      <c r="O15" s="72"/>
      <c r="P15" s="71"/>
      <c r="Q15" s="71"/>
      <c r="R15" s="85">
        <f>(SUM(I14:R14))</f>
        <v>69.74712</v>
      </c>
      <c r="T15" s="86"/>
      <c r="U15" s="86"/>
    </row>
    <row r="16" s="3" customFormat="1" ht="16.5" customHeight="1" spans="1:21">
      <c r="A16" s="44"/>
      <c r="B16" s="45"/>
      <c r="C16" s="45"/>
      <c r="D16" s="45"/>
      <c r="E16" s="45"/>
      <c r="F16" s="45"/>
      <c r="G16" s="45"/>
      <c r="H16" s="45"/>
      <c r="I16" s="73"/>
      <c r="J16" s="74"/>
      <c r="K16" s="74"/>
      <c r="L16" s="74"/>
      <c r="M16" s="74"/>
      <c r="N16" s="74"/>
      <c r="O16" s="74"/>
      <c r="P16" s="73"/>
      <c r="Q16" s="73"/>
      <c r="R16" s="87"/>
      <c r="T16" s="86"/>
      <c r="U16" s="86"/>
    </row>
    <row r="17" ht="15.15" spans="1:18">
      <c r="A17" s="50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/>
      <c r="P17" s="75"/>
      <c r="Q17" s="88"/>
      <c r="R17" s="89"/>
    </row>
    <row r="18" s="1" customFormat="1" ht="21" customHeight="1" spans="1:18">
      <c r="A18" s="16" t="s">
        <v>235</v>
      </c>
      <c r="B18" s="17" t="s">
        <v>236</v>
      </c>
      <c r="C18" s="18" t="s">
        <v>237</v>
      </c>
      <c r="D18" s="17" t="s">
        <v>238</v>
      </c>
      <c r="E18" s="17"/>
      <c r="F18" s="17" t="s">
        <v>239</v>
      </c>
      <c r="G18" s="19" t="s">
        <v>240</v>
      </c>
      <c r="H18" s="20" t="s">
        <v>241</v>
      </c>
      <c r="I18" s="63" t="s">
        <v>242</v>
      </c>
      <c r="J18" s="64"/>
      <c r="K18" s="64"/>
      <c r="L18" s="64"/>
      <c r="M18" s="64"/>
      <c r="N18" s="64"/>
      <c r="O18" s="64"/>
      <c r="P18" s="64"/>
      <c r="Q18" s="64"/>
      <c r="R18" s="79"/>
    </row>
    <row r="19" s="1" customFormat="1" ht="15.75" customHeight="1" spans="1:18">
      <c r="A19" s="21"/>
      <c r="B19" s="22"/>
      <c r="C19" s="23"/>
      <c r="D19" s="22"/>
      <c r="E19" s="22"/>
      <c r="F19" s="22"/>
      <c r="G19" s="24"/>
      <c r="H19" s="25"/>
      <c r="I19" s="65" t="s">
        <v>243</v>
      </c>
      <c r="J19" s="65" t="s">
        <v>244</v>
      </c>
      <c r="K19" s="65" t="s">
        <v>245</v>
      </c>
      <c r="L19" s="65" t="s">
        <v>246</v>
      </c>
      <c r="M19" s="65" t="s">
        <v>247</v>
      </c>
      <c r="N19" s="65" t="s">
        <v>248</v>
      </c>
      <c r="O19" s="65" t="s">
        <v>249</v>
      </c>
      <c r="P19" s="65" t="s">
        <v>250</v>
      </c>
      <c r="Q19" s="65" t="s">
        <v>251</v>
      </c>
      <c r="R19" s="80" t="s">
        <v>252</v>
      </c>
    </row>
    <row r="20" s="2" customFormat="1" ht="14.25" customHeight="1" spans="1:18">
      <c r="A20" s="26" t="s">
        <v>253</v>
      </c>
      <c r="B20" s="27"/>
      <c r="C20" s="27"/>
      <c r="D20" s="27"/>
      <c r="E20" s="27"/>
      <c r="F20" s="27"/>
      <c r="G20" s="27"/>
      <c r="H20" s="28"/>
      <c r="I20" s="66" t="str">
        <f>IF(E20=6,(G20*H20*0.222)," ")</f>
        <v> </v>
      </c>
      <c r="J20" s="66" t="str">
        <f>IF(E20=8,(H20*G20*0.395)," ")</f>
        <v> </v>
      </c>
      <c r="K20" s="66" t="str">
        <f>IF(E20=10,(G20*H20*0.617)," ")</f>
        <v> </v>
      </c>
      <c r="L20" s="66" t="str">
        <f>IF(E20=12,(H20*G20*0.888)," ")</f>
        <v> </v>
      </c>
      <c r="M20" s="66" t="str">
        <f>IF(E20=14,(H20*G20*1.208)," ")</f>
        <v> </v>
      </c>
      <c r="N20" s="66" t="str">
        <f>IF(E20=16,(H20*G20*1.578)," ")</f>
        <v> </v>
      </c>
      <c r="O20" s="66" t="str">
        <f>IF(E20=20,(H20*G20*2.466)," ")</f>
        <v> </v>
      </c>
      <c r="P20" s="66" t="str">
        <f>IF(E20=25,(H20*G20*3.854)," ")</f>
        <v> </v>
      </c>
      <c r="Q20" s="66" t="str">
        <f>IF(E20=32,(H20*G20*6.314)," ")</f>
        <v> </v>
      </c>
      <c r="R20" s="81" t="str">
        <f>IF(E20=40,(H20*G20*9.866)," ")</f>
        <v> </v>
      </c>
    </row>
    <row r="21" s="2" customFormat="1" ht="12" customHeight="1" spans="1:18">
      <c r="A21" s="29" t="s">
        <v>310</v>
      </c>
      <c r="B21" s="30"/>
      <c r="C21" s="31"/>
      <c r="D21" s="32"/>
      <c r="E21" s="32"/>
      <c r="F21" s="33"/>
      <c r="G21" s="33"/>
      <c r="H21" s="34"/>
      <c r="I21" s="66" t="str">
        <f t="shared" ref="I21:I27" si="12">IF(E21=6,(G21*H21*0.222)," ")</f>
        <v> </v>
      </c>
      <c r="J21" s="66" t="str">
        <f t="shared" ref="J21:J27" si="13">IF(E21=8,(H21*G21*0.395)," ")</f>
        <v> </v>
      </c>
      <c r="K21" s="66" t="str">
        <f t="shared" ref="K21:K27" si="14">IF(E21=10,(G21*H21*0.617)," ")</f>
        <v> </v>
      </c>
      <c r="L21" s="66" t="str">
        <f t="shared" ref="L21:L27" si="15">IF(E21=12,(H21*G21*0.888)," ")</f>
        <v> </v>
      </c>
      <c r="M21" s="66" t="str">
        <f t="shared" ref="M21:M27" si="16">IF(E21=14,(H21*G21*1.208)," ")</f>
        <v> </v>
      </c>
      <c r="N21" s="66" t="str">
        <f t="shared" ref="N21:N27" si="17">IF(E21=16,(H21*G21*1.578)," ")</f>
        <v> </v>
      </c>
      <c r="O21" s="66" t="str">
        <f t="shared" ref="O21:O27" si="18">IF(E21=20,(H21*G21*2.466)," ")</f>
        <v> </v>
      </c>
      <c r="P21" s="66" t="str">
        <f t="shared" ref="P21:P27" si="19">IF(E21=25,(H21*G21*3.854)," ")</f>
        <v> </v>
      </c>
      <c r="Q21" s="66" t="str">
        <f t="shared" ref="Q21:Q27" si="20">IF(E21=32,(H21*G21*6.314)," ")</f>
        <v> </v>
      </c>
      <c r="R21" s="81" t="str">
        <f t="shared" ref="R21:R27" si="21">IF(E21=40,(H21*G21*9.866)," ")</f>
        <v> </v>
      </c>
    </row>
    <row r="22" s="2" customFormat="1" ht="12" customHeight="1" spans="1:18">
      <c r="A22" s="35"/>
      <c r="B22" s="36"/>
      <c r="C22" s="33">
        <v>33</v>
      </c>
      <c r="D22" s="32" t="s">
        <v>256</v>
      </c>
      <c r="E22" s="32">
        <v>6</v>
      </c>
      <c r="F22" s="33">
        <v>1</v>
      </c>
      <c r="G22" s="33">
        <f t="shared" ref="G22:G25" si="22">F22*C22</f>
        <v>33</v>
      </c>
      <c r="H22" s="34">
        <v>0.55</v>
      </c>
      <c r="I22" s="66">
        <f t="shared" si="12"/>
        <v>4.0293</v>
      </c>
      <c r="J22" s="66" t="str">
        <f t="shared" si="13"/>
        <v> </v>
      </c>
      <c r="K22" s="66" t="str">
        <f t="shared" si="14"/>
        <v> </v>
      </c>
      <c r="L22" s="66" t="str">
        <f t="shared" si="15"/>
        <v> </v>
      </c>
      <c r="M22" s="66" t="str">
        <f t="shared" si="16"/>
        <v> </v>
      </c>
      <c r="N22" s="66" t="str">
        <f t="shared" si="17"/>
        <v> </v>
      </c>
      <c r="O22" s="66" t="str">
        <f t="shared" si="18"/>
        <v> </v>
      </c>
      <c r="P22" s="66" t="str">
        <f t="shared" si="19"/>
        <v> </v>
      </c>
      <c r="Q22" s="66" t="str">
        <f t="shared" si="20"/>
        <v> </v>
      </c>
      <c r="R22" s="81" t="str">
        <f t="shared" si="21"/>
        <v> </v>
      </c>
    </row>
    <row r="23" s="2" customFormat="1" ht="12" customHeight="1" spans="1:18">
      <c r="A23" s="35"/>
      <c r="B23" s="33"/>
      <c r="C23" s="33">
        <v>3</v>
      </c>
      <c r="D23" s="32" t="s">
        <v>256</v>
      </c>
      <c r="E23" s="32">
        <v>16</v>
      </c>
      <c r="F23" s="33">
        <v>1</v>
      </c>
      <c r="G23" s="33">
        <f t="shared" si="22"/>
        <v>3</v>
      </c>
      <c r="H23" s="34">
        <v>4.43</v>
      </c>
      <c r="I23" s="66" t="str">
        <f t="shared" si="12"/>
        <v> </v>
      </c>
      <c r="J23" s="66" t="str">
        <f t="shared" si="13"/>
        <v> </v>
      </c>
      <c r="K23" s="66" t="str">
        <f t="shared" si="14"/>
        <v> </v>
      </c>
      <c r="L23" s="66" t="str">
        <f t="shared" si="15"/>
        <v> </v>
      </c>
      <c r="M23" s="66" t="str">
        <f t="shared" si="16"/>
        <v> </v>
      </c>
      <c r="N23" s="66">
        <f t="shared" si="17"/>
        <v>20.97162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81" t="str">
        <f t="shared" si="21"/>
        <v> </v>
      </c>
    </row>
    <row r="24" s="2" customFormat="1" ht="12" customHeight="1" spans="1:18">
      <c r="A24" s="35"/>
      <c r="B24" s="33"/>
      <c r="C24" s="33">
        <v>3</v>
      </c>
      <c r="D24" s="32" t="s">
        <v>256</v>
      </c>
      <c r="E24" s="32">
        <v>12</v>
      </c>
      <c r="F24" s="33">
        <v>1</v>
      </c>
      <c r="G24" s="33">
        <f t="shared" si="22"/>
        <v>3</v>
      </c>
      <c r="H24" s="34">
        <v>3.69</v>
      </c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>
        <f t="shared" si="15"/>
        <v>9.83016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81" t="str">
        <f t="shared" si="21"/>
        <v> </v>
      </c>
    </row>
    <row r="25" s="2" customFormat="1" ht="12" customHeight="1" spans="1:18">
      <c r="A25" s="35"/>
      <c r="B25" s="33"/>
      <c r="C25" s="33">
        <v>33</v>
      </c>
      <c r="D25" s="32" t="s">
        <v>256</v>
      </c>
      <c r="E25" s="32">
        <v>6</v>
      </c>
      <c r="F25" s="33">
        <v>1</v>
      </c>
      <c r="G25" s="33">
        <f t="shared" si="22"/>
        <v>33</v>
      </c>
      <c r="H25" s="34">
        <v>1.38</v>
      </c>
      <c r="I25" s="66">
        <f t="shared" si="12"/>
        <v>10.10988</v>
      </c>
      <c r="J25" s="66" t="str">
        <f t="shared" si="13"/>
        <v> </v>
      </c>
      <c r="K25" s="66" t="str">
        <f t="shared" si="14"/>
        <v> 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81" t="str">
        <f t="shared" si="21"/>
        <v> </v>
      </c>
    </row>
    <row r="26" s="2" customFormat="1" ht="12" customHeight="1" spans="1:18">
      <c r="A26" s="35"/>
      <c r="B26" s="36"/>
      <c r="C26" s="33"/>
      <c r="D26" s="32"/>
      <c r="E26" s="32"/>
      <c r="F26" s="33"/>
      <c r="G26" s="33"/>
      <c r="H26" s="34"/>
      <c r="I26" s="66" t="str">
        <f t="shared" si="12"/>
        <v> </v>
      </c>
      <c r="J26" s="66" t="str">
        <f t="shared" si="13"/>
        <v> </v>
      </c>
      <c r="K26" s="66" t="str">
        <f t="shared" si="14"/>
        <v> </v>
      </c>
      <c r="L26" s="66" t="str">
        <f t="shared" si="15"/>
        <v> </v>
      </c>
      <c r="M26" s="66" t="str">
        <f t="shared" si="16"/>
        <v> </v>
      </c>
      <c r="N26" s="66" t="str">
        <f t="shared" si="17"/>
        <v> </v>
      </c>
      <c r="O26" s="66" t="str">
        <f t="shared" si="18"/>
        <v> </v>
      </c>
      <c r="P26" s="66" t="str">
        <f t="shared" si="19"/>
        <v> </v>
      </c>
      <c r="Q26" s="66" t="str">
        <f t="shared" si="20"/>
        <v> </v>
      </c>
      <c r="R26" s="81" t="str">
        <f t="shared" si="21"/>
        <v> </v>
      </c>
    </row>
    <row r="27" s="2" customFormat="1" ht="12" customHeight="1" spans="1:18">
      <c r="A27" s="37"/>
      <c r="B27" s="38"/>
      <c r="C27" s="38"/>
      <c r="D27" s="39"/>
      <c r="E27" s="39"/>
      <c r="F27" s="38"/>
      <c r="G27" s="38"/>
      <c r="H27" s="40"/>
      <c r="I27" s="66" t="str">
        <f t="shared" si="12"/>
        <v> </v>
      </c>
      <c r="J27" s="66" t="str">
        <f t="shared" si="13"/>
        <v> </v>
      </c>
      <c r="K27" s="66" t="str">
        <f t="shared" si="14"/>
        <v> </v>
      </c>
      <c r="L27" s="66" t="str">
        <f t="shared" si="15"/>
        <v> </v>
      </c>
      <c r="M27" s="66" t="str">
        <f t="shared" si="16"/>
        <v> </v>
      </c>
      <c r="N27" s="66" t="str">
        <f t="shared" si="17"/>
        <v> </v>
      </c>
      <c r="O27" s="66" t="str">
        <f t="shared" si="18"/>
        <v> </v>
      </c>
      <c r="P27" s="66" t="str">
        <f t="shared" si="19"/>
        <v> </v>
      </c>
      <c r="Q27" s="66" t="str">
        <f t="shared" si="20"/>
        <v> </v>
      </c>
      <c r="R27" s="81" t="str">
        <f t="shared" si="21"/>
        <v> </v>
      </c>
    </row>
    <row r="28" ht="17.25" customHeight="1" spans="1:21">
      <c r="A28" s="41" t="s">
        <v>259</v>
      </c>
      <c r="B28" s="42"/>
      <c r="C28" s="42"/>
      <c r="D28" s="42"/>
      <c r="E28" s="42"/>
      <c r="F28" s="42"/>
      <c r="G28" s="42"/>
      <c r="H28" s="43"/>
      <c r="I28" s="67">
        <v>0.222</v>
      </c>
      <c r="J28" s="68">
        <v>0.397</v>
      </c>
      <c r="K28" s="69">
        <v>0.617</v>
      </c>
      <c r="L28" s="69">
        <v>0.888</v>
      </c>
      <c r="M28" s="69">
        <v>1.208</v>
      </c>
      <c r="N28" s="68">
        <v>1.576</v>
      </c>
      <c r="O28" s="68">
        <v>2.47</v>
      </c>
      <c r="P28" s="69">
        <v>3.854</v>
      </c>
      <c r="Q28" s="69">
        <v>6.313</v>
      </c>
      <c r="R28" s="82">
        <v>9.866</v>
      </c>
      <c r="T28" s="83"/>
      <c r="U28" s="83"/>
    </row>
    <row r="29" ht="15" customHeight="1" spans="1:21">
      <c r="A29" s="44" t="s">
        <v>260</v>
      </c>
      <c r="B29" s="45"/>
      <c r="C29" s="45"/>
      <c r="D29" s="45"/>
      <c r="E29" s="45"/>
      <c r="F29" s="45"/>
      <c r="G29" s="45"/>
      <c r="H29" s="46"/>
      <c r="I29" s="70">
        <f>SUM(I20:I27)</f>
        <v>14.13918</v>
      </c>
      <c r="J29" s="70">
        <f t="shared" ref="J29:R29" si="23">SUM(J20:J27)</f>
        <v>0</v>
      </c>
      <c r="K29" s="70">
        <f t="shared" si="23"/>
        <v>0</v>
      </c>
      <c r="L29" s="70">
        <f t="shared" si="23"/>
        <v>9.83016</v>
      </c>
      <c r="M29" s="70">
        <f t="shared" si="23"/>
        <v>0</v>
      </c>
      <c r="N29" s="70">
        <f t="shared" si="23"/>
        <v>20.97162</v>
      </c>
      <c r="O29" s="70">
        <f t="shared" si="23"/>
        <v>0</v>
      </c>
      <c r="P29" s="70">
        <f t="shared" si="23"/>
        <v>0</v>
      </c>
      <c r="Q29" s="70">
        <f t="shared" si="23"/>
        <v>0</v>
      </c>
      <c r="R29" s="84">
        <f t="shared" si="23"/>
        <v>0</v>
      </c>
      <c r="T29" s="83"/>
      <c r="U29" s="83"/>
    </row>
    <row r="30" s="3" customFormat="1" ht="16.5" customHeight="1" spans="1:21">
      <c r="A30" s="47" t="s">
        <v>261</v>
      </c>
      <c r="B30" s="48"/>
      <c r="C30" s="48"/>
      <c r="D30" s="48"/>
      <c r="E30" s="48"/>
      <c r="F30" s="48"/>
      <c r="G30" s="48"/>
      <c r="H30" s="49"/>
      <c r="I30" s="71"/>
      <c r="J30" s="72"/>
      <c r="K30" s="72"/>
      <c r="L30" s="72"/>
      <c r="M30" s="72"/>
      <c r="N30" s="72"/>
      <c r="O30" s="72"/>
      <c r="P30" s="71"/>
      <c r="Q30" s="71"/>
      <c r="R30" s="85">
        <f>(SUM(I29:R29))</f>
        <v>44.94096</v>
      </c>
      <c r="T30" s="90">
        <f>R15+R30+R45+R60+R73+R86+R104+R121+R138</f>
        <v>1473.30936</v>
      </c>
      <c r="U30" s="86"/>
    </row>
    <row r="31" ht="15.15" spans="1:18">
      <c r="A31" s="50"/>
      <c r="B31" s="51"/>
      <c r="C31" s="52"/>
      <c r="D31" s="53"/>
      <c r="E31" s="53"/>
      <c r="F31" s="53"/>
      <c r="G31" s="52"/>
      <c r="H31" s="54"/>
      <c r="I31" s="75"/>
      <c r="J31" s="75"/>
      <c r="K31" s="75"/>
      <c r="L31" s="75"/>
      <c r="M31" s="75"/>
      <c r="N31" s="75"/>
      <c r="O31" s="75"/>
      <c r="P31" s="75"/>
      <c r="Q31" s="88"/>
      <c r="R31" s="89"/>
    </row>
    <row r="32" s="1" customFormat="1" ht="21" customHeight="1" spans="1:18">
      <c r="A32" s="16" t="s">
        <v>235</v>
      </c>
      <c r="B32" s="17" t="s">
        <v>236</v>
      </c>
      <c r="C32" s="18" t="s">
        <v>237</v>
      </c>
      <c r="D32" s="17" t="s">
        <v>238</v>
      </c>
      <c r="E32" s="17"/>
      <c r="F32" s="17" t="s">
        <v>239</v>
      </c>
      <c r="G32" s="19" t="s">
        <v>240</v>
      </c>
      <c r="H32" s="20" t="s">
        <v>241</v>
      </c>
      <c r="I32" s="63" t="s">
        <v>242</v>
      </c>
      <c r="J32" s="64"/>
      <c r="K32" s="64"/>
      <c r="L32" s="64"/>
      <c r="M32" s="64"/>
      <c r="N32" s="64"/>
      <c r="O32" s="64"/>
      <c r="P32" s="64"/>
      <c r="Q32" s="64"/>
      <c r="R32" s="79"/>
    </row>
    <row r="33" s="1" customFormat="1" ht="15.75" customHeight="1" spans="1:18">
      <c r="A33" s="21"/>
      <c r="B33" s="22"/>
      <c r="C33" s="23"/>
      <c r="D33" s="22"/>
      <c r="E33" s="22"/>
      <c r="F33" s="22"/>
      <c r="G33" s="24"/>
      <c r="H33" s="25"/>
      <c r="I33" s="65" t="s">
        <v>243</v>
      </c>
      <c r="J33" s="65" t="s">
        <v>244</v>
      </c>
      <c r="K33" s="65" t="s">
        <v>245</v>
      </c>
      <c r="L33" s="65" t="s">
        <v>246</v>
      </c>
      <c r="M33" s="65" t="s">
        <v>247</v>
      </c>
      <c r="N33" s="65" t="s">
        <v>248</v>
      </c>
      <c r="O33" s="65" t="s">
        <v>249</v>
      </c>
      <c r="P33" s="65" t="s">
        <v>250</v>
      </c>
      <c r="Q33" s="65" t="s">
        <v>251</v>
      </c>
      <c r="R33" s="80" t="s">
        <v>252</v>
      </c>
    </row>
    <row r="34" s="2" customFormat="1" ht="14.25" customHeight="1" spans="1:18">
      <c r="A34" s="26" t="s">
        <v>253</v>
      </c>
      <c r="B34" s="27"/>
      <c r="C34" s="27"/>
      <c r="D34" s="27"/>
      <c r="E34" s="27"/>
      <c r="F34" s="27"/>
      <c r="G34" s="27"/>
      <c r="H34" s="28"/>
      <c r="I34" s="66" t="str">
        <f>IF(E34=6,(G34*H34*0.222)," ")</f>
        <v> </v>
      </c>
      <c r="J34" s="66" t="str">
        <f>IF(E34=8,(H34*G34*0.395)," ")</f>
        <v> </v>
      </c>
      <c r="K34" s="66" t="str">
        <f>IF(E34=10,(G34*H34*0.617)," ")</f>
        <v> </v>
      </c>
      <c r="L34" s="66" t="str">
        <f>IF(E34=12,(H34*G34*0.888)," ")</f>
        <v> </v>
      </c>
      <c r="M34" s="66" t="str">
        <f>IF(E34=14,(H34*G34*1.208)," ")</f>
        <v> </v>
      </c>
      <c r="N34" s="66" t="str">
        <f>IF(E34=16,(H34*G34*1.578)," ")</f>
        <v> </v>
      </c>
      <c r="O34" s="66" t="str">
        <f>IF(E34=20,(H34*G34*2.466)," ")</f>
        <v> </v>
      </c>
      <c r="P34" s="66" t="str">
        <f>IF(E34=25,(H34*G34*3.854)," ")</f>
        <v> </v>
      </c>
      <c r="Q34" s="66" t="str">
        <f>IF(E34=32,(H34*G34*6.314)," ")</f>
        <v> </v>
      </c>
      <c r="R34" s="81" t="str">
        <f>IF(E34=40,(H34*G34*9.866)," ")</f>
        <v> </v>
      </c>
    </row>
    <row r="35" s="2" customFormat="1" ht="12" customHeight="1" spans="1:18">
      <c r="A35" s="29" t="s">
        <v>311</v>
      </c>
      <c r="B35" s="30"/>
      <c r="C35" s="31"/>
      <c r="D35" s="32"/>
      <c r="E35" s="32"/>
      <c r="F35" s="33"/>
      <c r="G35" s="33"/>
      <c r="H35" s="34"/>
      <c r="I35" s="66" t="str">
        <f t="shared" ref="I35:I42" si="24">IF(E35=6,(G35*H35*0.222)," ")</f>
        <v> </v>
      </c>
      <c r="J35" s="66" t="str">
        <f t="shared" ref="J35:J42" si="25">IF(E35=8,(H35*G35*0.395)," ")</f>
        <v> </v>
      </c>
      <c r="K35" s="66" t="str">
        <f t="shared" ref="K35:K42" si="26">IF(E35=10,(G35*H35*0.617)," ")</f>
        <v> </v>
      </c>
      <c r="L35" s="66" t="str">
        <f t="shared" ref="L35:L42" si="27">IF(E35=12,(H35*G35*0.888)," ")</f>
        <v> </v>
      </c>
      <c r="M35" s="66" t="str">
        <f t="shared" ref="M35:M42" si="28">IF(E35=14,(H35*G35*1.208)," ")</f>
        <v> </v>
      </c>
      <c r="N35" s="66" t="str">
        <f t="shared" ref="N35:N42" si="29">IF(E35=16,(H35*G35*1.578)," ")</f>
        <v> </v>
      </c>
      <c r="O35" s="66" t="str">
        <f t="shared" ref="O35:O42" si="30">IF(E35=20,(H35*G35*2.466)," ")</f>
        <v> </v>
      </c>
      <c r="P35" s="66" t="str">
        <f t="shared" ref="P35:P42" si="31">IF(E35=25,(H35*G35*3.854)," ")</f>
        <v> </v>
      </c>
      <c r="Q35" s="66" t="str">
        <f t="shared" ref="Q35:Q42" si="32">IF(E35=32,(H35*G35*6.314)," ")</f>
        <v> </v>
      </c>
      <c r="R35" s="81" t="str">
        <f t="shared" ref="R35:R42" si="33">IF(E35=40,(H35*G35*9.866)," ")</f>
        <v> </v>
      </c>
    </row>
    <row r="36" s="2" customFormat="1" ht="12" customHeight="1" spans="1:18">
      <c r="A36" s="35"/>
      <c r="B36" s="36"/>
      <c r="C36" s="33">
        <v>3</v>
      </c>
      <c r="D36" s="32" t="s">
        <v>256</v>
      </c>
      <c r="E36" s="32">
        <v>12</v>
      </c>
      <c r="F36" s="33">
        <v>1</v>
      </c>
      <c r="G36" s="33">
        <f t="shared" ref="G36:G40" si="34">F36*C36</f>
        <v>3</v>
      </c>
      <c r="H36" s="34">
        <v>7.85</v>
      </c>
      <c r="I36" s="66" t="str">
        <f t="shared" si="24"/>
        <v> </v>
      </c>
      <c r="J36" s="66" t="str">
        <f t="shared" si="25"/>
        <v> </v>
      </c>
      <c r="K36" s="66" t="str">
        <f t="shared" si="26"/>
        <v> </v>
      </c>
      <c r="L36" s="66">
        <f t="shared" si="27"/>
        <v>20.9124</v>
      </c>
      <c r="M36" s="66" t="str">
        <f t="shared" si="28"/>
        <v> </v>
      </c>
      <c r="N36" s="66" t="str">
        <f t="shared" si="29"/>
        <v> </v>
      </c>
      <c r="O36" s="66" t="str">
        <f t="shared" si="30"/>
        <v> </v>
      </c>
      <c r="P36" s="66" t="str">
        <f t="shared" si="31"/>
        <v> </v>
      </c>
      <c r="Q36" s="66" t="str">
        <f t="shared" si="32"/>
        <v> </v>
      </c>
      <c r="R36" s="81" t="str">
        <f t="shared" si="33"/>
        <v> </v>
      </c>
    </row>
    <row r="37" s="2" customFormat="1" ht="12" customHeight="1" spans="1:18">
      <c r="A37" s="35"/>
      <c r="B37" s="33"/>
      <c r="C37" s="33">
        <v>3</v>
      </c>
      <c r="D37" s="32" t="s">
        <v>256</v>
      </c>
      <c r="E37" s="32">
        <v>20</v>
      </c>
      <c r="F37" s="33">
        <v>1</v>
      </c>
      <c r="G37" s="33">
        <f t="shared" si="34"/>
        <v>3</v>
      </c>
      <c r="H37" s="34">
        <v>8.15</v>
      </c>
      <c r="I37" s="66" t="str">
        <f t="shared" si="24"/>
        <v> </v>
      </c>
      <c r="J37" s="66" t="str">
        <f t="shared" si="25"/>
        <v> </v>
      </c>
      <c r="K37" s="66" t="str">
        <f t="shared" si="26"/>
        <v> </v>
      </c>
      <c r="L37" s="66" t="str">
        <f t="shared" si="27"/>
        <v> </v>
      </c>
      <c r="M37" s="66" t="str">
        <f t="shared" si="28"/>
        <v> </v>
      </c>
      <c r="N37" s="66" t="str">
        <f t="shared" si="29"/>
        <v> </v>
      </c>
      <c r="O37" s="66">
        <f t="shared" si="30"/>
        <v>60.2937</v>
      </c>
      <c r="P37" s="66" t="str">
        <f t="shared" si="31"/>
        <v> </v>
      </c>
      <c r="Q37" s="66" t="str">
        <f t="shared" si="32"/>
        <v> </v>
      </c>
      <c r="R37" s="81" t="str">
        <f t="shared" si="33"/>
        <v> </v>
      </c>
    </row>
    <row r="38" s="2" customFormat="1" ht="12" customHeight="1" spans="1:18">
      <c r="A38" s="35"/>
      <c r="B38" s="36"/>
      <c r="C38" s="33">
        <v>49</v>
      </c>
      <c r="D38" s="32" t="s">
        <v>256</v>
      </c>
      <c r="E38" s="32">
        <v>6</v>
      </c>
      <c r="F38" s="33">
        <v>1</v>
      </c>
      <c r="G38" s="33">
        <f t="shared" si="34"/>
        <v>49</v>
      </c>
      <c r="H38" s="34">
        <v>0.5</v>
      </c>
      <c r="I38" s="66">
        <f t="shared" si="24"/>
        <v>5.439</v>
      </c>
      <c r="J38" s="66" t="str">
        <f t="shared" si="25"/>
        <v> </v>
      </c>
      <c r="K38" s="66" t="str">
        <f t="shared" si="26"/>
        <v> </v>
      </c>
      <c r="L38" s="66" t="str">
        <f t="shared" si="27"/>
        <v> </v>
      </c>
      <c r="M38" s="66" t="str">
        <f t="shared" si="28"/>
        <v> </v>
      </c>
      <c r="N38" s="66" t="str">
        <f t="shared" si="29"/>
        <v> </v>
      </c>
      <c r="O38" s="66" t="str">
        <f t="shared" si="30"/>
        <v> </v>
      </c>
      <c r="P38" s="66" t="str">
        <f t="shared" si="31"/>
        <v> </v>
      </c>
      <c r="Q38" s="66" t="str">
        <f t="shared" si="32"/>
        <v> </v>
      </c>
      <c r="R38" s="81" t="str">
        <f t="shared" si="33"/>
        <v> </v>
      </c>
    </row>
    <row r="39" s="2" customFormat="1" ht="12" customHeight="1" spans="1:18">
      <c r="A39" s="35"/>
      <c r="B39" s="36"/>
      <c r="C39" s="33">
        <v>49</v>
      </c>
      <c r="D39" s="32" t="s">
        <v>256</v>
      </c>
      <c r="E39" s="32">
        <v>6</v>
      </c>
      <c r="F39" s="33">
        <v>1</v>
      </c>
      <c r="G39" s="33">
        <f t="shared" si="34"/>
        <v>49</v>
      </c>
      <c r="H39" s="34">
        <v>1.18</v>
      </c>
      <c r="I39" s="66">
        <f t="shared" si="24"/>
        <v>12.83604</v>
      </c>
      <c r="J39" s="66" t="str">
        <f t="shared" si="25"/>
        <v> </v>
      </c>
      <c r="K39" s="66" t="str">
        <f t="shared" si="26"/>
        <v> </v>
      </c>
      <c r="L39" s="66" t="str">
        <f t="shared" si="27"/>
        <v> </v>
      </c>
      <c r="M39" s="66" t="str">
        <f t="shared" si="28"/>
        <v> </v>
      </c>
      <c r="N39" s="66" t="str">
        <f t="shared" si="29"/>
        <v> </v>
      </c>
      <c r="O39" s="66" t="str">
        <f t="shared" si="30"/>
        <v> </v>
      </c>
      <c r="P39" s="66" t="str">
        <f t="shared" si="31"/>
        <v> </v>
      </c>
      <c r="Q39" s="66" t="str">
        <f t="shared" si="32"/>
        <v> </v>
      </c>
      <c r="R39" s="81" t="str">
        <f t="shared" si="33"/>
        <v> </v>
      </c>
    </row>
    <row r="40" s="2" customFormat="1" ht="12" customHeight="1" spans="1:18">
      <c r="A40" s="35"/>
      <c r="B40" s="33"/>
      <c r="C40" s="33">
        <v>3</v>
      </c>
      <c r="D40" s="32" t="s">
        <v>256</v>
      </c>
      <c r="E40" s="32">
        <v>16</v>
      </c>
      <c r="F40" s="33">
        <v>1</v>
      </c>
      <c r="G40" s="33">
        <f t="shared" si="34"/>
        <v>3</v>
      </c>
      <c r="H40" s="34">
        <v>6</v>
      </c>
      <c r="I40" s="66" t="str">
        <f t="shared" si="24"/>
        <v> </v>
      </c>
      <c r="J40" s="66" t="str">
        <f t="shared" si="25"/>
        <v> </v>
      </c>
      <c r="K40" s="66" t="str">
        <f t="shared" si="26"/>
        <v> </v>
      </c>
      <c r="L40" s="66" t="str">
        <f t="shared" si="27"/>
        <v> </v>
      </c>
      <c r="M40" s="66" t="str">
        <f t="shared" si="28"/>
        <v> </v>
      </c>
      <c r="N40" s="66">
        <f t="shared" si="29"/>
        <v>28.404</v>
      </c>
      <c r="O40" s="66" t="str">
        <f t="shared" si="30"/>
        <v> </v>
      </c>
      <c r="P40" s="66" t="str">
        <f t="shared" si="31"/>
        <v> </v>
      </c>
      <c r="Q40" s="66" t="str">
        <f t="shared" si="32"/>
        <v> </v>
      </c>
      <c r="R40" s="81" t="str">
        <f t="shared" si="33"/>
        <v> </v>
      </c>
    </row>
    <row r="41" s="2" customFormat="1" ht="12" customHeight="1" spans="1:18">
      <c r="A41" s="35"/>
      <c r="B41" s="36"/>
      <c r="C41" s="33"/>
      <c r="D41" s="32"/>
      <c r="E41" s="32"/>
      <c r="F41" s="33"/>
      <c r="G41" s="33"/>
      <c r="H41" s="34"/>
      <c r="I41" s="66" t="str">
        <f t="shared" si="24"/>
        <v> </v>
      </c>
      <c r="J41" s="66" t="str">
        <f t="shared" si="25"/>
        <v> </v>
      </c>
      <c r="K41" s="66" t="str">
        <f t="shared" si="26"/>
        <v> </v>
      </c>
      <c r="L41" s="66" t="str">
        <f t="shared" si="27"/>
        <v> </v>
      </c>
      <c r="M41" s="66" t="str">
        <f t="shared" si="28"/>
        <v> </v>
      </c>
      <c r="N41" s="66" t="str">
        <f t="shared" si="29"/>
        <v> </v>
      </c>
      <c r="O41" s="66" t="str">
        <f t="shared" si="30"/>
        <v> </v>
      </c>
      <c r="P41" s="66" t="str">
        <f t="shared" si="31"/>
        <v> </v>
      </c>
      <c r="Q41" s="66" t="str">
        <f t="shared" si="32"/>
        <v> </v>
      </c>
      <c r="R41" s="81" t="str">
        <f t="shared" si="33"/>
        <v> </v>
      </c>
    </row>
    <row r="42" s="2" customFormat="1" ht="12" customHeight="1" spans="1:18">
      <c r="A42" s="37"/>
      <c r="B42" s="38"/>
      <c r="C42" s="38"/>
      <c r="D42" s="39"/>
      <c r="E42" s="39"/>
      <c r="F42" s="38"/>
      <c r="G42" s="38"/>
      <c r="H42" s="40"/>
      <c r="I42" s="66" t="str">
        <f t="shared" si="24"/>
        <v> </v>
      </c>
      <c r="J42" s="66" t="str">
        <f t="shared" si="25"/>
        <v> </v>
      </c>
      <c r="K42" s="66" t="str">
        <f t="shared" si="26"/>
        <v> </v>
      </c>
      <c r="L42" s="66" t="str">
        <f t="shared" si="27"/>
        <v> </v>
      </c>
      <c r="M42" s="66" t="str">
        <f t="shared" si="28"/>
        <v> </v>
      </c>
      <c r="N42" s="66" t="str">
        <f t="shared" si="29"/>
        <v> </v>
      </c>
      <c r="O42" s="66" t="str">
        <f t="shared" si="30"/>
        <v> </v>
      </c>
      <c r="P42" s="66" t="str">
        <f t="shared" si="31"/>
        <v> </v>
      </c>
      <c r="Q42" s="66" t="str">
        <f t="shared" si="32"/>
        <v> </v>
      </c>
      <c r="R42" s="81" t="str">
        <f t="shared" si="33"/>
        <v> </v>
      </c>
    </row>
    <row r="43" ht="17.25" customHeight="1" spans="1:21">
      <c r="A43" s="41" t="s">
        <v>259</v>
      </c>
      <c r="B43" s="42"/>
      <c r="C43" s="42"/>
      <c r="D43" s="42"/>
      <c r="E43" s="42"/>
      <c r="F43" s="42"/>
      <c r="G43" s="42"/>
      <c r="H43" s="43"/>
      <c r="I43" s="67">
        <v>0.222</v>
      </c>
      <c r="J43" s="68">
        <v>0.397</v>
      </c>
      <c r="K43" s="69">
        <v>0.617</v>
      </c>
      <c r="L43" s="69">
        <v>0.888</v>
      </c>
      <c r="M43" s="69">
        <v>1.208</v>
      </c>
      <c r="N43" s="68">
        <v>1.576</v>
      </c>
      <c r="O43" s="68">
        <v>2.47</v>
      </c>
      <c r="P43" s="69">
        <v>3.854</v>
      </c>
      <c r="Q43" s="69">
        <v>6.313</v>
      </c>
      <c r="R43" s="82">
        <v>9.866</v>
      </c>
      <c r="T43" s="83"/>
      <c r="U43" s="83"/>
    </row>
    <row r="44" ht="15" customHeight="1" spans="1:21">
      <c r="A44" s="44" t="s">
        <v>260</v>
      </c>
      <c r="B44" s="45"/>
      <c r="C44" s="45"/>
      <c r="D44" s="45"/>
      <c r="E44" s="45"/>
      <c r="F44" s="45"/>
      <c r="G44" s="45"/>
      <c r="H44" s="46"/>
      <c r="I44" s="70">
        <f>SUM(I34:I42)</f>
        <v>18.27504</v>
      </c>
      <c r="J44" s="70">
        <f t="shared" ref="J44:R44" si="35">SUM(J34:J42)</f>
        <v>0</v>
      </c>
      <c r="K44" s="70">
        <f t="shared" si="35"/>
        <v>0</v>
      </c>
      <c r="L44" s="70">
        <f t="shared" si="35"/>
        <v>20.9124</v>
      </c>
      <c r="M44" s="70">
        <f t="shared" si="35"/>
        <v>0</v>
      </c>
      <c r="N44" s="70">
        <f t="shared" si="35"/>
        <v>28.404</v>
      </c>
      <c r="O44" s="70">
        <f t="shared" si="35"/>
        <v>60.2937</v>
      </c>
      <c r="P44" s="70">
        <f t="shared" si="35"/>
        <v>0</v>
      </c>
      <c r="Q44" s="70">
        <f t="shared" si="35"/>
        <v>0</v>
      </c>
      <c r="R44" s="84">
        <f t="shared" si="35"/>
        <v>0</v>
      </c>
      <c r="T44" s="83"/>
      <c r="U44" s="83"/>
    </row>
    <row r="45" s="3" customFormat="1" ht="16.5" customHeight="1" spans="1:21">
      <c r="A45" s="47" t="s">
        <v>261</v>
      </c>
      <c r="B45" s="48"/>
      <c r="C45" s="48"/>
      <c r="D45" s="48"/>
      <c r="E45" s="48"/>
      <c r="F45" s="48"/>
      <c r="G45" s="48"/>
      <c r="H45" s="49"/>
      <c r="I45" s="71"/>
      <c r="J45" s="72"/>
      <c r="K45" s="72"/>
      <c r="L45" s="72"/>
      <c r="M45" s="72"/>
      <c r="N45" s="72"/>
      <c r="O45" s="72"/>
      <c r="P45" s="71"/>
      <c r="Q45" s="71"/>
      <c r="R45" s="85">
        <f>(SUM(I44:R44))</f>
        <v>127.88514</v>
      </c>
      <c r="T45" s="86"/>
      <c r="U45" s="86"/>
    </row>
    <row r="46" ht="15.15" spans="1:18">
      <c r="A46" s="50"/>
      <c r="B46" s="51"/>
      <c r="C46" s="52"/>
      <c r="D46" s="53"/>
      <c r="E46" s="53"/>
      <c r="F46" s="53"/>
      <c r="G46" s="52"/>
      <c r="H46" s="54"/>
      <c r="I46" s="75"/>
      <c r="J46" s="75"/>
      <c r="K46" s="75"/>
      <c r="L46" s="75"/>
      <c r="M46" s="75"/>
      <c r="N46" s="75"/>
      <c r="O46" s="75"/>
      <c r="P46" s="75"/>
      <c r="Q46" s="88"/>
      <c r="R46" s="89"/>
    </row>
    <row r="47" s="1" customFormat="1" ht="21" customHeight="1" spans="1:18">
      <c r="A47" s="16" t="s">
        <v>235</v>
      </c>
      <c r="B47" s="17" t="s">
        <v>236</v>
      </c>
      <c r="C47" s="18" t="s">
        <v>237</v>
      </c>
      <c r="D47" s="17" t="s">
        <v>238</v>
      </c>
      <c r="E47" s="17"/>
      <c r="F47" s="17" t="s">
        <v>239</v>
      </c>
      <c r="G47" s="19" t="s">
        <v>240</v>
      </c>
      <c r="H47" s="20" t="s">
        <v>241</v>
      </c>
      <c r="I47" s="63" t="s">
        <v>242</v>
      </c>
      <c r="J47" s="64"/>
      <c r="K47" s="64"/>
      <c r="L47" s="64"/>
      <c r="M47" s="64"/>
      <c r="N47" s="64"/>
      <c r="O47" s="64"/>
      <c r="P47" s="64"/>
      <c r="Q47" s="64"/>
      <c r="R47" s="79"/>
    </row>
    <row r="48" s="1" customFormat="1" ht="15.75" customHeight="1" spans="1:18">
      <c r="A48" s="21"/>
      <c r="B48" s="22"/>
      <c r="C48" s="23"/>
      <c r="D48" s="22"/>
      <c r="E48" s="22"/>
      <c r="F48" s="22"/>
      <c r="G48" s="24"/>
      <c r="H48" s="25"/>
      <c r="I48" s="65" t="s">
        <v>243</v>
      </c>
      <c r="J48" s="65" t="s">
        <v>244</v>
      </c>
      <c r="K48" s="65" t="s">
        <v>245</v>
      </c>
      <c r="L48" s="65" t="s">
        <v>246</v>
      </c>
      <c r="M48" s="65" t="s">
        <v>247</v>
      </c>
      <c r="N48" s="65" t="s">
        <v>248</v>
      </c>
      <c r="O48" s="65" t="s">
        <v>249</v>
      </c>
      <c r="P48" s="65" t="s">
        <v>250</v>
      </c>
      <c r="Q48" s="65" t="s">
        <v>251</v>
      </c>
      <c r="R48" s="80" t="s">
        <v>252</v>
      </c>
    </row>
    <row r="49" s="2" customFormat="1" ht="14.25" customHeight="1" spans="1:18">
      <c r="A49" s="26" t="s">
        <v>253</v>
      </c>
      <c r="B49" s="27"/>
      <c r="C49" s="27"/>
      <c r="D49" s="27"/>
      <c r="E49" s="27"/>
      <c r="F49" s="27"/>
      <c r="G49" s="27"/>
      <c r="H49" s="28"/>
      <c r="I49" s="66" t="str">
        <f>IF(E49=6,(G49*H49*0.222)," ")</f>
        <v> </v>
      </c>
      <c r="J49" s="66" t="str">
        <f>IF(E49=8,(H49*G49*0.395)," ")</f>
        <v> </v>
      </c>
      <c r="K49" s="66" t="str">
        <f>IF(E49=10,(G49*H49*0.617)," ")</f>
        <v> </v>
      </c>
      <c r="L49" s="66" t="str">
        <f>IF(E49=12,(H49*G49*0.888)," ")</f>
        <v> </v>
      </c>
      <c r="M49" s="66" t="str">
        <f>IF(E49=14,(H49*G49*1.208)," ")</f>
        <v> </v>
      </c>
      <c r="N49" s="66" t="str">
        <f>IF(E49=16,(H49*G49*1.578)," ")</f>
        <v> </v>
      </c>
      <c r="O49" s="66" t="str">
        <f>IF(E49=20,(H49*G49*2.466)," ")</f>
        <v> </v>
      </c>
      <c r="P49" s="66" t="str">
        <f>IF(E49=25,(H49*G49*3.854)," ")</f>
        <v> </v>
      </c>
      <c r="Q49" s="66" t="str">
        <f>IF(E49=32,(H49*G49*6.314)," ")</f>
        <v> </v>
      </c>
      <c r="R49" s="81" t="str">
        <f>IF(E49=40,(H49*G49*9.866)," ")</f>
        <v> </v>
      </c>
    </row>
    <row r="50" s="2" customFormat="1" ht="12" customHeight="1" spans="1:18">
      <c r="A50" s="29" t="s">
        <v>312</v>
      </c>
      <c r="B50" s="30"/>
      <c r="C50" s="31"/>
      <c r="D50" s="32"/>
      <c r="E50" s="32"/>
      <c r="F50" s="33"/>
      <c r="G50" s="33"/>
      <c r="H50" s="34"/>
      <c r="I50" s="66" t="str">
        <f t="shared" ref="I50:I57" si="36">IF(E50=6,(G50*H50*0.222)," ")</f>
        <v> </v>
      </c>
      <c r="J50" s="66" t="str">
        <f t="shared" ref="J50:J57" si="37">IF(E50=8,(H50*G50*0.395)," ")</f>
        <v> </v>
      </c>
      <c r="K50" s="66" t="str">
        <f t="shared" ref="K50:K57" si="38">IF(E50=10,(G50*H50*0.617)," ")</f>
        <v> </v>
      </c>
      <c r="L50" s="66" t="str">
        <f t="shared" ref="L50:L57" si="39">IF(E50=12,(H50*G50*0.888)," ")</f>
        <v> </v>
      </c>
      <c r="M50" s="66" t="str">
        <f t="shared" ref="M50:M57" si="40">IF(E50=14,(H50*G50*1.208)," ")</f>
        <v> </v>
      </c>
      <c r="N50" s="66" t="str">
        <f t="shared" ref="N50:N57" si="41">IF(E50=16,(H50*G50*1.578)," ")</f>
        <v> </v>
      </c>
      <c r="O50" s="66" t="str">
        <f t="shared" ref="O50:O57" si="42">IF(E50=20,(H50*G50*2.466)," ")</f>
        <v> </v>
      </c>
      <c r="P50" s="66" t="str">
        <f t="shared" ref="P50:P57" si="43">IF(E50=25,(H50*G50*3.854)," ")</f>
        <v> </v>
      </c>
      <c r="Q50" s="66" t="str">
        <f t="shared" ref="Q50:Q57" si="44">IF(E50=32,(H50*G50*6.314)," ")</f>
        <v> </v>
      </c>
      <c r="R50" s="81" t="str">
        <f t="shared" ref="R50:R57" si="45">IF(E50=40,(H50*G50*9.866)," ")</f>
        <v> </v>
      </c>
    </row>
    <row r="51" s="2" customFormat="1" ht="12" customHeight="1" spans="1:18">
      <c r="A51" s="35"/>
      <c r="B51" s="36"/>
      <c r="C51" s="33">
        <v>3</v>
      </c>
      <c r="D51" s="32" t="s">
        <v>256</v>
      </c>
      <c r="E51" s="32">
        <v>12</v>
      </c>
      <c r="F51" s="33">
        <v>2</v>
      </c>
      <c r="G51" s="33">
        <f t="shared" ref="G51:G55" si="46">F51*C51</f>
        <v>6</v>
      </c>
      <c r="H51" s="34">
        <v>7.85</v>
      </c>
      <c r="I51" s="66" t="str">
        <f t="shared" si="36"/>
        <v> </v>
      </c>
      <c r="J51" s="66" t="str">
        <f t="shared" si="37"/>
        <v> </v>
      </c>
      <c r="K51" s="66" t="str">
        <f t="shared" si="38"/>
        <v> </v>
      </c>
      <c r="L51" s="66">
        <f t="shared" si="39"/>
        <v>41.8248</v>
      </c>
      <c r="M51" s="66" t="str">
        <f t="shared" si="40"/>
        <v> </v>
      </c>
      <c r="N51" s="66" t="str">
        <f t="shared" si="41"/>
        <v> </v>
      </c>
      <c r="O51" s="66" t="str">
        <f t="shared" si="42"/>
        <v> </v>
      </c>
      <c r="P51" s="66" t="str">
        <f t="shared" si="43"/>
        <v> </v>
      </c>
      <c r="Q51" s="66" t="str">
        <f t="shared" si="44"/>
        <v> </v>
      </c>
      <c r="R51" s="81" t="str">
        <f t="shared" si="45"/>
        <v> </v>
      </c>
    </row>
    <row r="52" s="2" customFormat="1" ht="12" customHeight="1" spans="1:18">
      <c r="A52" s="35"/>
      <c r="B52" s="33"/>
      <c r="C52" s="33">
        <v>3</v>
      </c>
      <c r="D52" s="32" t="s">
        <v>256</v>
      </c>
      <c r="E52" s="32">
        <v>20</v>
      </c>
      <c r="F52" s="33">
        <v>2</v>
      </c>
      <c r="G52" s="33">
        <f t="shared" si="46"/>
        <v>6</v>
      </c>
      <c r="H52" s="34">
        <v>8.15</v>
      </c>
      <c r="I52" s="66" t="str">
        <f t="shared" si="36"/>
        <v> </v>
      </c>
      <c r="J52" s="66" t="str">
        <f t="shared" si="37"/>
        <v> </v>
      </c>
      <c r="K52" s="66" t="str">
        <f t="shared" si="38"/>
        <v> </v>
      </c>
      <c r="L52" s="66" t="str">
        <f t="shared" si="39"/>
        <v> </v>
      </c>
      <c r="M52" s="66" t="str">
        <f t="shared" si="40"/>
        <v> </v>
      </c>
      <c r="N52" s="66" t="str">
        <f t="shared" si="41"/>
        <v> </v>
      </c>
      <c r="O52" s="66">
        <f t="shared" si="42"/>
        <v>120.5874</v>
      </c>
      <c r="P52" s="66" t="str">
        <f t="shared" si="43"/>
        <v> </v>
      </c>
      <c r="Q52" s="66" t="str">
        <f t="shared" si="44"/>
        <v> </v>
      </c>
      <c r="R52" s="81" t="str">
        <f t="shared" si="45"/>
        <v> </v>
      </c>
    </row>
    <row r="53" s="2" customFormat="1" ht="12" customHeight="1" spans="1:18">
      <c r="A53" s="35"/>
      <c r="B53" s="36"/>
      <c r="C53" s="33">
        <v>49</v>
      </c>
      <c r="D53" s="32" t="s">
        <v>256</v>
      </c>
      <c r="E53" s="32">
        <v>6</v>
      </c>
      <c r="F53" s="33">
        <v>2</v>
      </c>
      <c r="G53" s="33">
        <f t="shared" si="46"/>
        <v>98</v>
      </c>
      <c r="H53" s="34">
        <v>0.5</v>
      </c>
      <c r="I53" s="66">
        <f t="shared" si="36"/>
        <v>10.878</v>
      </c>
      <c r="J53" s="66" t="str">
        <f t="shared" si="37"/>
        <v> </v>
      </c>
      <c r="K53" s="66" t="str">
        <f t="shared" si="38"/>
        <v> </v>
      </c>
      <c r="L53" s="66" t="str">
        <f t="shared" si="39"/>
        <v> </v>
      </c>
      <c r="M53" s="66" t="str">
        <f t="shared" si="40"/>
        <v> </v>
      </c>
      <c r="N53" s="66" t="str">
        <f t="shared" si="41"/>
        <v> </v>
      </c>
      <c r="O53" s="66" t="str">
        <f t="shared" si="42"/>
        <v> </v>
      </c>
      <c r="P53" s="66" t="str">
        <f t="shared" si="43"/>
        <v> </v>
      </c>
      <c r="Q53" s="66" t="str">
        <f t="shared" si="44"/>
        <v> </v>
      </c>
      <c r="R53" s="81" t="str">
        <f t="shared" si="45"/>
        <v> </v>
      </c>
    </row>
    <row r="54" s="2" customFormat="1" ht="12" customHeight="1" spans="1:18">
      <c r="A54" s="35"/>
      <c r="B54" s="33"/>
      <c r="C54" s="33">
        <v>49</v>
      </c>
      <c r="D54" s="32" t="s">
        <v>256</v>
      </c>
      <c r="E54" s="32">
        <v>6</v>
      </c>
      <c r="F54" s="33">
        <v>2</v>
      </c>
      <c r="G54" s="33">
        <f t="shared" si="46"/>
        <v>98</v>
      </c>
      <c r="H54" s="34">
        <v>1.18</v>
      </c>
      <c r="I54" s="66">
        <f t="shared" si="36"/>
        <v>25.67208</v>
      </c>
      <c r="J54" s="66" t="str">
        <f t="shared" si="37"/>
        <v> </v>
      </c>
      <c r="K54" s="66" t="str">
        <f t="shared" si="38"/>
        <v> </v>
      </c>
      <c r="L54" s="66" t="str">
        <f t="shared" si="39"/>
        <v> </v>
      </c>
      <c r="M54" s="66" t="str">
        <f t="shared" si="40"/>
        <v> </v>
      </c>
      <c r="N54" s="66" t="str">
        <f t="shared" si="41"/>
        <v> </v>
      </c>
      <c r="O54" s="66" t="str">
        <f t="shared" si="42"/>
        <v> </v>
      </c>
      <c r="P54" s="66" t="str">
        <f t="shared" si="43"/>
        <v> </v>
      </c>
      <c r="Q54" s="66" t="str">
        <f t="shared" si="44"/>
        <v> </v>
      </c>
      <c r="R54" s="81" t="str">
        <f t="shared" si="45"/>
        <v> </v>
      </c>
    </row>
    <row r="55" s="2" customFormat="1" ht="12" customHeight="1" spans="1:18">
      <c r="A55" s="35"/>
      <c r="B55" s="33"/>
      <c r="C55" s="33">
        <v>3</v>
      </c>
      <c r="D55" s="32" t="s">
        <v>256</v>
      </c>
      <c r="E55" s="32">
        <v>16</v>
      </c>
      <c r="F55" s="33">
        <v>2</v>
      </c>
      <c r="G55" s="33">
        <f t="shared" si="46"/>
        <v>6</v>
      </c>
      <c r="H55" s="34">
        <v>6</v>
      </c>
      <c r="I55" s="66" t="str">
        <f t="shared" si="36"/>
        <v> </v>
      </c>
      <c r="J55" s="66" t="str">
        <f t="shared" si="37"/>
        <v> </v>
      </c>
      <c r="K55" s="66" t="str">
        <f t="shared" si="38"/>
        <v> </v>
      </c>
      <c r="L55" s="66" t="str">
        <f t="shared" si="39"/>
        <v> </v>
      </c>
      <c r="M55" s="66" t="str">
        <f t="shared" si="40"/>
        <v> </v>
      </c>
      <c r="N55" s="66">
        <f t="shared" si="41"/>
        <v>56.808</v>
      </c>
      <c r="O55" s="66" t="str">
        <f t="shared" si="42"/>
        <v> </v>
      </c>
      <c r="P55" s="66" t="str">
        <f t="shared" si="43"/>
        <v> </v>
      </c>
      <c r="Q55" s="66" t="str">
        <f t="shared" si="44"/>
        <v> </v>
      </c>
      <c r="R55" s="81" t="str">
        <f t="shared" si="45"/>
        <v> </v>
      </c>
    </row>
    <row r="56" s="2" customFormat="1" ht="12" customHeight="1" spans="1:18">
      <c r="A56" s="35"/>
      <c r="B56" s="36"/>
      <c r="C56" s="33"/>
      <c r="D56" s="32"/>
      <c r="E56" s="32"/>
      <c r="F56" s="33"/>
      <c r="G56" s="33"/>
      <c r="H56" s="34"/>
      <c r="I56" s="66" t="str">
        <f t="shared" si="36"/>
        <v> </v>
      </c>
      <c r="J56" s="66" t="str">
        <f t="shared" si="37"/>
        <v> </v>
      </c>
      <c r="K56" s="66" t="str">
        <f t="shared" si="38"/>
        <v> </v>
      </c>
      <c r="L56" s="66" t="str">
        <f t="shared" si="39"/>
        <v> </v>
      </c>
      <c r="M56" s="66" t="str">
        <f t="shared" si="40"/>
        <v> </v>
      </c>
      <c r="N56" s="66" t="str">
        <f t="shared" si="41"/>
        <v> </v>
      </c>
      <c r="O56" s="66" t="str">
        <f t="shared" si="42"/>
        <v> </v>
      </c>
      <c r="P56" s="66" t="str">
        <f t="shared" si="43"/>
        <v> </v>
      </c>
      <c r="Q56" s="66" t="str">
        <f t="shared" si="44"/>
        <v> </v>
      </c>
      <c r="R56" s="81" t="str">
        <f t="shared" si="45"/>
        <v> </v>
      </c>
    </row>
    <row r="57" s="2" customFormat="1" ht="12" customHeight="1" spans="1:18">
      <c r="A57" s="37"/>
      <c r="B57" s="38"/>
      <c r="C57" s="38"/>
      <c r="D57" s="39"/>
      <c r="E57" s="39"/>
      <c r="F57" s="38"/>
      <c r="G57" s="38"/>
      <c r="H57" s="40"/>
      <c r="I57" s="66" t="str">
        <f t="shared" si="36"/>
        <v> </v>
      </c>
      <c r="J57" s="66" t="str">
        <f t="shared" si="37"/>
        <v> </v>
      </c>
      <c r="K57" s="66" t="str">
        <f t="shared" si="38"/>
        <v> </v>
      </c>
      <c r="L57" s="66" t="str">
        <f t="shared" si="39"/>
        <v> </v>
      </c>
      <c r="M57" s="66" t="str">
        <f t="shared" si="40"/>
        <v> </v>
      </c>
      <c r="N57" s="66" t="str">
        <f t="shared" si="41"/>
        <v> </v>
      </c>
      <c r="O57" s="66" t="str">
        <f t="shared" si="42"/>
        <v> </v>
      </c>
      <c r="P57" s="66" t="str">
        <f t="shared" si="43"/>
        <v> </v>
      </c>
      <c r="Q57" s="66" t="str">
        <f t="shared" si="44"/>
        <v> </v>
      </c>
      <c r="R57" s="81" t="str">
        <f t="shared" si="45"/>
        <v> </v>
      </c>
    </row>
    <row r="58" ht="17.25" customHeight="1" spans="1:21">
      <c r="A58" s="41" t="s">
        <v>259</v>
      </c>
      <c r="B58" s="42"/>
      <c r="C58" s="42"/>
      <c r="D58" s="42"/>
      <c r="E58" s="42"/>
      <c r="F58" s="42"/>
      <c r="G58" s="42"/>
      <c r="H58" s="43"/>
      <c r="I58" s="67">
        <v>0.222</v>
      </c>
      <c r="J58" s="68">
        <v>0.397</v>
      </c>
      <c r="K58" s="69">
        <v>0.617</v>
      </c>
      <c r="L58" s="69">
        <v>0.888</v>
      </c>
      <c r="M58" s="69">
        <v>1.208</v>
      </c>
      <c r="N58" s="68">
        <v>1.576</v>
      </c>
      <c r="O58" s="68">
        <v>2.47</v>
      </c>
      <c r="P58" s="69">
        <v>3.854</v>
      </c>
      <c r="Q58" s="69">
        <v>6.313</v>
      </c>
      <c r="R58" s="82">
        <v>9.866</v>
      </c>
      <c r="T58" s="83"/>
      <c r="U58" s="83"/>
    </row>
    <row r="59" ht="15" customHeight="1" spans="1:21">
      <c r="A59" s="44" t="s">
        <v>260</v>
      </c>
      <c r="B59" s="45"/>
      <c r="C59" s="45"/>
      <c r="D59" s="45"/>
      <c r="E59" s="45"/>
      <c r="F59" s="45"/>
      <c r="G59" s="45"/>
      <c r="H59" s="46"/>
      <c r="I59" s="70">
        <f>SUM(I49:I57)</f>
        <v>36.55008</v>
      </c>
      <c r="J59" s="70">
        <f t="shared" ref="J59:R59" si="47">SUM(J49:J57)</f>
        <v>0</v>
      </c>
      <c r="K59" s="70">
        <f t="shared" si="47"/>
        <v>0</v>
      </c>
      <c r="L59" s="70">
        <f t="shared" si="47"/>
        <v>41.8248</v>
      </c>
      <c r="M59" s="70">
        <f t="shared" si="47"/>
        <v>0</v>
      </c>
      <c r="N59" s="70">
        <f t="shared" si="47"/>
        <v>56.808</v>
      </c>
      <c r="O59" s="70">
        <f t="shared" si="47"/>
        <v>120.5874</v>
      </c>
      <c r="P59" s="70">
        <f t="shared" si="47"/>
        <v>0</v>
      </c>
      <c r="Q59" s="70">
        <f t="shared" si="47"/>
        <v>0</v>
      </c>
      <c r="R59" s="84">
        <f t="shared" si="47"/>
        <v>0</v>
      </c>
      <c r="T59" s="83"/>
      <c r="U59" s="83"/>
    </row>
    <row r="60" s="3" customFormat="1" ht="16.5" customHeight="1" spans="1:21">
      <c r="A60" s="47" t="s">
        <v>261</v>
      </c>
      <c r="B60" s="48"/>
      <c r="C60" s="48"/>
      <c r="D60" s="48"/>
      <c r="E60" s="48"/>
      <c r="F60" s="48"/>
      <c r="G60" s="48"/>
      <c r="H60" s="49"/>
      <c r="I60" s="71"/>
      <c r="J60" s="72"/>
      <c r="K60" s="72"/>
      <c r="L60" s="72"/>
      <c r="M60" s="72"/>
      <c r="N60" s="72"/>
      <c r="O60" s="72"/>
      <c r="P60" s="71"/>
      <c r="Q60" s="71"/>
      <c r="R60" s="85">
        <f>(SUM(I59:R59))</f>
        <v>255.77028</v>
      </c>
      <c r="T60" s="86"/>
      <c r="U60" s="86"/>
    </row>
    <row r="61" ht="15.15" spans="1:18">
      <c r="A61" s="50"/>
      <c r="B61" s="51"/>
      <c r="C61" s="52"/>
      <c r="D61" s="53"/>
      <c r="E61" s="53"/>
      <c r="F61" s="53"/>
      <c r="G61" s="52"/>
      <c r="H61" s="54"/>
      <c r="I61" s="75"/>
      <c r="J61" s="75"/>
      <c r="K61" s="75"/>
      <c r="L61" s="75"/>
      <c r="M61" s="75"/>
      <c r="N61" s="75"/>
      <c r="O61" s="75"/>
      <c r="P61" s="75"/>
      <c r="Q61" s="88"/>
      <c r="R61" s="89"/>
    </row>
    <row r="62" s="1" customFormat="1" ht="21" customHeight="1" spans="1:18">
      <c r="A62" s="16" t="s">
        <v>235</v>
      </c>
      <c r="B62" s="17" t="s">
        <v>236</v>
      </c>
      <c r="C62" s="18" t="s">
        <v>237</v>
      </c>
      <c r="D62" s="17" t="s">
        <v>238</v>
      </c>
      <c r="E62" s="17"/>
      <c r="F62" s="17" t="s">
        <v>239</v>
      </c>
      <c r="G62" s="19" t="s">
        <v>240</v>
      </c>
      <c r="H62" s="20" t="s">
        <v>241</v>
      </c>
      <c r="I62" s="63" t="s">
        <v>242</v>
      </c>
      <c r="J62" s="64"/>
      <c r="K62" s="64"/>
      <c r="L62" s="64"/>
      <c r="M62" s="64"/>
      <c r="N62" s="64"/>
      <c r="O62" s="64"/>
      <c r="P62" s="64"/>
      <c r="Q62" s="64"/>
      <c r="R62" s="79"/>
    </row>
    <row r="63" s="1" customFormat="1" ht="15.75" customHeight="1" spans="1:18">
      <c r="A63" s="21"/>
      <c r="B63" s="22"/>
      <c r="C63" s="23"/>
      <c r="D63" s="22"/>
      <c r="E63" s="22"/>
      <c r="F63" s="22"/>
      <c r="G63" s="24"/>
      <c r="H63" s="25"/>
      <c r="I63" s="65" t="s">
        <v>243</v>
      </c>
      <c r="J63" s="65" t="s">
        <v>244</v>
      </c>
      <c r="K63" s="65" t="s">
        <v>245</v>
      </c>
      <c r="L63" s="65" t="s">
        <v>246</v>
      </c>
      <c r="M63" s="65" t="s">
        <v>247</v>
      </c>
      <c r="N63" s="65" t="s">
        <v>248</v>
      </c>
      <c r="O63" s="65" t="s">
        <v>249</v>
      </c>
      <c r="P63" s="65" t="s">
        <v>250</v>
      </c>
      <c r="Q63" s="65" t="s">
        <v>251</v>
      </c>
      <c r="R63" s="80" t="s">
        <v>252</v>
      </c>
    </row>
    <row r="64" s="2" customFormat="1" ht="14.25" customHeight="1" spans="1:18">
      <c r="A64" s="26" t="s">
        <v>253</v>
      </c>
      <c r="B64" s="27"/>
      <c r="C64" s="27"/>
      <c r="D64" s="27"/>
      <c r="E64" s="27"/>
      <c r="F64" s="27"/>
      <c r="G64" s="27"/>
      <c r="H64" s="28"/>
      <c r="I64" s="66" t="str">
        <f>IF(E64=6,(G64*H64*0.222)," ")</f>
        <v> </v>
      </c>
      <c r="J64" s="66" t="str">
        <f>IF(E64=8,(H64*G64*0.395)," ")</f>
        <v> </v>
      </c>
      <c r="K64" s="66" t="str">
        <f>IF(E64=10,(G64*H64*0.617)," ")</f>
        <v> </v>
      </c>
      <c r="L64" s="66" t="str">
        <f>IF(E64=12,(H64*G64*0.888)," ")</f>
        <v> </v>
      </c>
      <c r="M64" s="66" t="str">
        <f>IF(E64=14,(H64*G64*1.208)," ")</f>
        <v> </v>
      </c>
      <c r="N64" s="66" t="str">
        <f>IF(E64=16,(H64*G64*1.578)," ")</f>
        <v> </v>
      </c>
      <c r="O64" s="66" t="str">
        <f>IF(E64=20,(H64*G64*2.466)," ")</f>
        <v> </v>
      </c>
      <c r="P64" s="66" t="str">
        <f>IF(E64=25,(H64*G64*3.854)," ")</f>
        <v> </v>
      </c>
      <c r="Q64" s="66" t="str">
        <f>IF(E64=32,(H64*G64*6.314)," ")</f>
        <v> </v>
      </c>
      <c r="R64" s="81" t="str">
        <f>IF(E64=40,(H64*G64*9.866)," ")</f>
        <v> </v>
      </c>
    </row>
    <row r="65" s="2" customFormat="1" ht="12" customHeight="1" spans="1:18">
      <c r="A65" s="29" t="s">
        <v>313</v>
      </c>
      <c r="B65" s="30"/>
      <c r="C65" s="31"/>
      <c r="D65" s="32"/>
      <c r="E65" s="32"/>
      <c r="F65" s="33"/>
      <c r="G65" s="33"/>
      <c r="H65" s="34"/>
      <c r="I65" s="66" t="str">
        <f t="shared" ref="I65:I70" si="48">IF(E65=6,(G65*H65*0.222)," ")</f>
        <v> </v>
      </c>
      <c r="J65" s="66" t="str">
        <f t="shared" ref="J65:J70" si="49">IF(E65=8,(H65*G65*0.395)," ")</f>
        <v> </v>
      </c>
      <c r="K65" s="66" t="str">
        <f t="shared" ref="K65:K70" si="50">IF(E65=10,(G65*H65*0.617)," ")</f>
        <v> </v>
      </c>
      <c r="L65" s="66" t="str">
        <f t="shared" ref="L65:L70" si="51">IF(E65=12,(H65*G65*0.888)," ")</f>
        <v> </v>
      </c>
      <c r="M65" s="66" t="str">
        <f t="shared" ref="M65:M70" si="52">IF(E65=14,(H65*G65*1.208)," ")</f>
        <v> </v>
      </c>
      <c r="N65" s="66" t="str">
        <f t="shared" ref="N65:N70" si="53">IF(E65=16,(H65*G65*1.578)," ")</f>
        <v> </v>
      </c>
      <c r="O65" s="66" t="str">
        <f t="shared" ref="O65:O70" si="54">IF(E65=20,(H65*G65*2.466)," ")</f>
        <v> </v>
      </c>
      <c r="P65" s="66" t="str">
        <f t="shared" ref="P65:P70" si="55">IF(E65=25,(H65*G65*3.854)," ")</f>
        <v> </v>
      </c>
      <c r="Q65" s="66" t="str">
        <f t="shared" ref="Q65:Q70" si="56">IF(E65=32,(H65*G65*6.314)," ")</f>
        <v> </v>
      </c>
      <c r="R65" s="81" t="str">
        <f t="shared" ref="R65:R70" si="57">IF(E65=40,(H65*G65*9.866)," ")</f>
        <v> </v>
      </c>
    </row>
    <row r="66" s="2" customFormat="1" ht="12" customHeight="1" spans="1:18">
      <c r="A66" s="35"/>
      <c r="B66" s="36"/>
      <c r="C66" s="33">
        <v>6</v>
      </c>
      <c r="D66" s="32" t="s">
        <v>256</v>
      </c>
      <c r="E66" s="32">
        <v>16</v>
      </c>
      <c r="F66" s="33">
        <v>2</v>
      </c>
      <c r="G66" s="33">
        <f t="shared" ref="G66:G68" si="58">F66*C66</f>
        <v>12</v>
      </c>
      <c r="H66" s="34">
        <v>4.6</v>
      </c>
      <c r="I66" s="66" t="str">
        <f t="shared" si="48"/>
        <v> </v>
      </c>
      <c r="J66" s="66" t="str">
        <f t="shared" si="49"/>
        <v> </v>
      </c>
      <c r="K66" s="66" t="str">
        <f t="shared" si="50"/>
        <v> </v>
      </c>
      <c r="L66" s="66" t="str">
        <f t="shared" si="51"/>
        <v> </v>
      </c>
      <c r="M66" s="66" t="str">
        <f t="shared" si="52"/>
        <v> </v>
      </c>
      <c r="N66" s="66">
        <f t="shared" si="53"/>
        <v>87.1056</v>
      </c>
      <c r="O66" s="66" t="str">
        <f t="shared" si="54"/>
        <v> </v>
      </c>
      <c r="P66" s="66" t="str">
        <f t="shared" si="55"/>
        <v> </v>
      </c>
      <c r="Q66" s="66" t="str">
        <f t="shared" si="56"/>
        <v> </v>
      </c>
      <c r="R66" s="81" t="str">
        <f t="shared" si="57"/>
        <v> </v>
      </c>
    </row>
    <row r="67" s="2" customFormat="1" ht="12" customHeight="1" spans="1:18">
      <c r="A67" s="35"/>
      <c r="B67" s="33"/>
      <c r="C67" s="33">
        <v>25</v>
      </c>
      <c r="D67" s="32" t="s">
        <v>256</v>
      </c>
      <c r="E67" s="32">
        <v>6</v>
      </c>
      <c r="F67" s="33">
        <v>2</v>
      </c>
      <c r="G67" s="33">
        <f t="shared" si="58"/>
        <v>50</v>
      </c>
      <c r="H67" s="34">
        <v>0.55</v>
      </c>
      <c r="I67" s="66">
        <f t="shared" si="48"/>
        <v>6.105</v>
      </c>
      <c r="J67" s="66" t="str">
        <f t="shared" si="49"/>
        <v> </v>
      </c>
      <c r="K67" s="66" t="str">
        <f t="shared" si="50"/>
        <v> </v>
      </c>
      <c r="L67" s="66" t="str">
        <f t="shared" si="51"/>
        <v> </v>
      </c>
      <c r="M67" s="66" t="str">
        <f t="shared" si="52"/>
        <v> </v>
      </c>
      <c r="N67" s="66" t="str">
        <f t="shared" si="53"/>
        <v> </v>
      </c>
      <c r="O67" s="66" t="str">
        <f t="shared" si="54"/>
        <v> </v>
      </c>
      <c r="P67" s="66" t="str">
        <f t="shared" si="55"/>
        <v> </v>
      </c>
      <c r="Q67" s="66" t="str">
        <f t="shared" si="56"/>
        <v> </v>
      </c>
      <c r="R67" s="81" t="str">
        <f t="shared" si="57"/>
        <v> </v>
      </c>
    </row>
    <row r="68" s="2" customFormat="1" ht="12" customHeight="1" spans="1:18">
      <c r="A68" s="35"/>
      <c r="B68" s="36"/>
      <c r="C68" s="33">
        <v>25</v>
      </c>
      <c r="D68" s="32" t="s">
        <v>256</v>
      </c>
      <c r="E68" s="32">
        <v>6</v>
      </c>
      <c r="F68" s="33">
        <v>2</v>
      </c>
      <c r="G68" s="33">
        <f t="shared" si="58"/>
        <v>50</v>
      </c>
      <c r="H68" s="34">
        <v>1.38</v>
      </c>
      <c r="I68" s="66">
        <f t="shared" si="48"/>
        <v>15.318</v>
      </c>
      <c r="J68" s="66" t="str">
        <f t="shared" si="49"/>
        <v> </v>
      </c>
      <c r="K68" s="66" t="str">
        <f t="shared" si="50"/>
        <v> </v>
      </c>
      <c r="L68" s="66" t="str">
        <f t="shared" si="51"/>
        <v> </v>
      </c>
      <c r="M68" s="66" t="str">
        <f t="shared" si="52"/>
        <v> </v>
      </c>
      <c r="N68" s="66" t="str">
        <f t="shared" si="53"/>
        <v> </v>
      </c>
      <c r="O68" s="66" t="str">
        <f t="shared" si="54"/>
        <v> </v>
      </c>
      <c r="P68" s="66" t="str">
        <f t="shared" si="55"/>
        <v> </v>
      </c>
      <c r="Q68" s="66" t="str">
        <f t="shared" si="56"/>
        <v> </v>
      </c>
      <c r="R68" s="81" t="str">
        <f t="shared" si="57"/>
        <v> </v>
      </c>
    </row>
    <row r="69" s="2" customFormat="1" ht="12" customHeight="1" spans="1:18">
      <c r="A69" s="35"/>
      <c r="B69" s="36"/>
      <c r="C69" s="33"/>
      <c r="D69" s="32"/>
      <c r="E69" s="32"/>
      <c r="F69" s="33"/>
      <c r="G69" s="33"/>
      <c r="H69" s="34"/>
      <c r="I69" s="66" t="str">
        <f t="shared" si="48"/>
        <v> </v>
      </c>
      <c r="J69" s="66" t="str">
        <f t="shared" si="49"/>
        <v> </v>
      </c>
      <c r="K69" s="66" t="str">
        <f t="shared" si="50"/>
        <v> </v>
      </c>
      <c r="L69" s="66" t="str">
        <f t="shared" si="51"/>
        <v> </v>
      </c>
      <c r="M69" s="66" t="str">
        <f t="shared" si="52"/>
        <v> </v>
      </c>
      <c r="N69" s="66" t="str">
        <f t="shared" si="53"/>
        <v> </v>
      </c>
      <c r="O69" s="66" t="str">
        <f t="shared" si="54"/>
        <v> </v>
      </c>
      <c r="P69" s="66" t="str">
        <f t="shared" si="55"/>
        <v> </v>
      </c>
      <c r="Q69" s="66" t="str">
        <f t="shared" si="56"/>
        <v> </v>
      </c>
      <c r="R69" s="81" t="str">
        <f t="shared" si="57"/>
        <v> </v>
      </c>
    </row>
    <row r="70" s="2" customFormat="1" ht="12" customHeight="1" spans="1:18">
      <c r="A70" s="37"/>
      <c r="B70" s="38"/>
      <c r="C70" s="38"/>
      <c r="D70" s="39"/>
      <c r="E70" s="39"/>
      <c r="F70" s="38"/>
      <c r="G70" s="38"/>
      <c r="H70" s="40"/>
      <c r="I70" s="66" t="str">
        <f t="shared" si="48"/>
        <v> </v>
      </c>
      <c r="J70" s="66" t="str">
        <f t="shared" si="49"/>
        <v> </v>
      </c>
      <c r="K70" s="66" t="str">
        <f t="shared" si="50"/>
        <v> </v>
      </c>
      <c r="L70" s="66" t="str">
        <f t="shared" si="51"/>
        <v> </v>
      </c>
      <c r="M70" s="66" t="str">
        <f t="shared" si="52"/>
        <v> </v>
      </c>
      <c r="N70" s="66" t="str">
        <f t="shared" si="53"/>
        <v> </v>
      </c>
      <c r="O70" s="66" t="str">
        <f t="shared" si="54"/>
        <v> </v>
      </c>
      <c r="P70" s="66" t="str">
        <f t="shared" si="55"/>
        <v> </v>
      </c>
      <c r="Q70" s="66" t="str">
        <f t="shared" si="56"/>
        <v> </v>
      </c>
      <c r="R70" s="81" t="str">
        <f t="shared" si="57"/>
        <v> </v>
      </c>
    </row>
    <row r="71" ht="17.25" customHeight="1" spans="1:21">
      <c r="A71" s="41" t="s">
        <v>259</v>
      </c>
      <c r="B71" s="42"/>
      <c r="C71" s="42"/>
      <c r="D71" s="42"/>
      <c r="E71" s="42"/>
      <c r="F71" s="42"/>
      <c r="G71" s="42"/>
      <c r="H71" s="43"/>
      <c r="I71" s="67">
        <v>0.222</v>
      </c>
      <c r="J71" s="68">
        <v>0.397</v>
      </c>
      <c r="K71" s="69">
        <v>0.617</v>
      </c>
      <c r="L71" s="69">
        <v>0.888</v>
      </c>
      <c r="M71" s="69">
        <v>1.208</v>
      </c>
      <c r="N71" s="68">
        <v>1.576</v>
      </c>
      <c r="O71" s="68">
        <v>2.47</v>
      </c>
      <c r="P71" s="69">
        <v>3.854</v>
      </c>
      <c r="Q71" s="69">
        <v>6.313</v>
      </c>
      <c r="R71" s="82">
        <v>9.866</v>
      </c>
      <c r="T71" s="83"/>
      <c r="U71" s="83"/>
    </row>
    <row r="72" ht="15" customHeight="1" spans="1:21">
      <c r="A72" s="44" t="s">
        <v>260</v>
      </c>
      <c r="B72" s="45"/>
      <c r="C72" s="45"/>
      <c r="D72" s="45"/>
      <c r="E72" s="45"/>
      <c r="F72" s="45"/>
      <c r="G72" s="45"/>
      <c r="H72" s="46"/>
      <c r="I72" s="70">
        <f>SUM(I64:I70)</f>
        <v>21.423</v>
      </c>
      <c r="J72" s="70">
        <f t="shared" ref="J72:R72" si="59">SUM(J64:J70)</f>
        <v>0</v>
      </c>
      <c r="K72" s="70">
        <f t="shared" si="59"/>
        <v>0</v>
      </c>
      <c r="L72" s="70">
        <f t="shared" si="59"/>
        <v>0</v>
      </c>
      <c r="M72" s="70">
        <f t="shared" si="59"/>
        <v>0</v>
      </c>
      <c r="N72" s="70">
        <f t="shared" si="59"/>
        <v>87.1056</v>
      </c>
      <c r="O72" s="70">
        <f t="shared" si="59"/>
        <v>0</v>
      </c>
      <c r="P72" s="70">
        <f t="shared" si="59"/>
        <v>0</v>
      </c>
      <c r="Q72" s="70">
        <f t="shared" si="59"/>
        <v>0</v>
      </c>
      <c r="R72" s="84">
        <f t="shared" si="59"/>
        <v>0</v>
      </c>
      <c r="T72" s="83"/>
      <c r="U72" s="83"/>
    </row>
    <row r="73" s="3" customFormat="1" ht="16.5" customHeight="1" spans="1:21">
      <c r="A73" s="47" t="s">
        <v>261</v>
      </c>
      <c r="B73" s="48"/>
      <c r="C73" s="48"/>
      <c r="D73" s="48"/>
      <c r="E73" s="48"/>
      <c r="F73" s="48"/>
      <c r="G73" s="48"/>
      <c r="H73" s="49"/>
      <c r="I73" s="71"/>
      <c r="J73" s="72"/>
      <c r="K73" s="72"/>
      <c r="L73" s="72"/>
      <c r="M73" s="72"/>
      <c r="N73" s="72"/>
      <c r="O73" s="72"/>
      <c r="P73" s="71"/>
      <c r="Q73" s="71"/>
      <c r="R73" s="85">
        <f>(SUM(I72:R72))</f>
        <v>108.5286</v>
      </c>
      <c r="T73" s="86"/>
      <c r="U73" s="86"/>
    </row>
    <row r="74" ht="15.15" spans="1:18">
      <c r="A74" s="50"/>
      <c r="B74" s="51"/>
      <c r="C74" s="52"/>
      <c r="D74" s="53"/>
      <c r="E74" s="53"/>
      <c r="F74" s="53"/>
      <c r="G74" s="52"/>
      <c r="H74" s="54"/>
      <c r="I74" s="75"/>
      <c r="J74" s="75"/>
      <c r="K74" s="75"/>
      <c r="L74" s="75"/>
      <c r="M74" s="75"/>
      <c r="N74" s="75"/>
      <c r="O74" s="75"/>
      <c r="P74" s="75"/>
      <c r="Q74" s="88"/>
      <c r="R74" s="89"/>
    </row>
    <row r="75" s="1" customFormat="1" ht="21" customHeight="1" spans="1:18">
      <c r="A75" s="16" t="s">
        <v>235</v>
      </c>
      <c r="B75" s="17" t="s">
        <v>236</v>
      </c>
      <c r="C75" s="18" t="s">
        <v>237</v>
      </c>
      <c r="D75" s="17" t="s">
        <v>238</v>
      </c>
      <c r="E75" s="17"/>
      <c r="F75" s="17" t="s">
        <v>239</v>
      </c>
      <c r="G75" s="19" t="s">
        <v>240</v>
      </c>
      <c r="H75" s="20" t="s">
        <v>241</v>
      </c>
      <c r="I75" s="63" t="s">
        <v>242</v>
      </c>
      <c r="J75" s="64"/>
      <c r="K75" s="64"/>
      <c r="L75" s="64"/>
      <c r="M75" s="64"/>
      <c r="N75" s="64"/>
      <c r="O75" s="64"/>
      <c r="P75" s="64"/>
      <c r="Q75" s="64"/>
      <c r="R75" s="79"/>
    </row>
    <row r="76" s="1" customFormat="1" ht="15.75" customHeight="1" spans="1:18">
      <c r="A76" s="21"/>
      <c r="B76" s="22"/>
      <c r="C76" s="23"/>
      <c r="D76" s="22"/>
      <c r="E76" s="22"/>
      <c r="F76" s="22"/>
      <c r="G76" s="24"/>
      <c r="H76" s="25"/>
      <c r="I76" s="65" t="s">
        <v>243</v>
      </c>
      <c r="J76" s="65" t="s">
        <v>244</v>
      </c>
      <c r="K76" s="65" t="s">
        <v>245</v>
      </c>
      <c r="L76" s="65" t="s">
        <v>246</v>
      </c>
      <c r="M76" s="65" t="s">
        <v>247</v>
      </c>
      <c r="N76" s="65" t="s">
        <v>248</v>
      </c>
      <c r="O76" s="65" t="s">
        <v>249</v>
      </c>
      <c r="P76" s="65" t="s">
        <v>250</v>
      </c>
      <c r="Q76" s="65" t="s">
        <v>251</v>
      </c>
      <c r="R76" s="80" t="s">
        <v>252</v>
      </c>
    </row>
    <row r="77" s="2" customFormat="1" ht="14.25" customHeight="1" spans="1:18">
      <c r="A77" s="26" t="s">
        <v>253</v>
      </c>
      <c r="B77" s="27"/>
      <c r="C77" s="27"/>
      <c r="D77" s="27"/>
      <c r="E77" s="27"/>
      <c r="F77" s="27"/>
      <c r="G77" s="27"/>
      <c r="H77" s="28"/>
      <c r="I77" s="66" t="str">
        <f>IF(E77=6,(G77*H77*0.222)," ")</f>
        <v> </v>
      </c>
      <c r="J77" s="66" t="str">
        <f>IF(E77=8,(H77*G77*0.395)," ")</f>
        <v> </v>
      </c>
      <c r="K77" s="66" t="str">
        <f>IF(E77=10,(G77*H77*0.617)," ")</f>
        <v> </v>
      </c>
      <c r="L77" s="66" t="str">
        <f>IF(E77=12,(H77*G77*0.888)," ")</f>
        <v> </v>
      </c>
      <c r="M77" s="66" t="str">
        <f>IF(E77=14,(H77*G77*1.208)," ")</f>
        <v> </v>
      </c>
      <c r="N77" s="66" t="str">
        <f>IF(E77=16,(H77*G77*1.578)," ")</f>
        <v> </v>
      </c>
      <c r="O77" s="66" t="str">
        <f>IF(E77=20,(H77*G77*2.466)," ")</f>
        <v> </v>
      </c>
      <c r="P77" s="66" t="str">
        <f>IF(E77=25,(H77*G77*3.854)," ")</f>
        <v> </v>
      </c>
      <c r="Q77" s="66" t="str">
        <f>IF(E77=32,(H77*G77*6.314)," ")</f>
        <v> </v>
      </c>
      <c r="R77" s="81" t="str">
        <f>IF(E77=40,(H77*G77*9.866)," ")</f>
        <v> </v>
      </c>
    </row>
    <row r="78" s="2" customFormat="1" ht="12" customHeight="1" spans="1:18">
      <c r="A78" s="29" t="s">
        <v>314</v>
      </c>
      <c r="B78" s="30"/>
      <c r="C78" s="31"/>
      <c r="D78" s="32"/>
      <c r="E78" s="32"/>
      <c r="F78" s="33"/>
      <c r="G78" s="33"/>
      <c r="H78" s="34"/>
      <c r="I78" s="66" t="str">
        <f t="shared" ref="I78:I83" si="60">IF(E78=6,(G78*H78*0.222)," ")</f>
        <v> </v>
      </c>
      <c r="J78" s="66" t="str">
        <f t="shared" ref="J78:J83" si="61">IF(E78=8,(H78*G78*0.395)," ")</f>
        <v> </v>
      </c>
      <c r="K78" s="66" t="str">
        <f t="shared" ref="K78:K83" si="62">IF(E78=10,(G78*H78*0.617)," ")</f>
        <v> </v>
      </c>
      <c r="L78" s="66" t="str">
        <f t="shared" ref="L78:L83" si="63">IF(E78=12,(H78*G78*0.888)," ")</f>
        <v> </v>
      </c>
      <c r="M78" s="66" t="str">
        <f t="shared" ref="M78:M83" si="64">IF(E78=14,(H78*G78*1.208)," ")</f>
        <v> </v>
      </c>
      <c r="N78" s="66" t="str">
        <f t="shared" ref="N78:N83" si="65">IF(E78=16,(H78*G78*1.578)," ")</f>
        <v> </v>
      </c>
      <c r="O78" s="66" t="str">
        <f t="shared" ref="O78:O83" si="66">IF(E78=20,(H78*G78*2.466)," ")</f>
        <v> </v>
      </c>
      <c r="P78" s="66" t="str">
        <f t="shared" ref="P78:P83" si="67">IF(E78=25,(H78*G78*3.854)," ")</f>
        <v> </v>
      </c>
      <c r="Q78" s="66" t="str">
        <f t="shared" ref="Q78:Q83" si="68">IF(E78=32,(H78*G78*6.314)," ")</f>
        <v> </v>
      </c>
      <c r="R78" s="81" t="str">
        <f t="shared" ref="R78:R83" si="69">IF(E78=40,(H78*G78*9.866)," ")</f>
        <v> </v>
      </c>
    </row>
    <row r="79" s="2" customFormat="1" ht="12" customHeight="1" spans="1:18">
      <c r="A79" s="35"/>
      <c r="B79" s="36"/>
      <c r="C79" s="33">
        <v>6</v>
      </c>
      <c r="D79" s="32" t="s">
        <v>256</v>
      </c>
      <c r="E79" s="32">
        <v>16</v>
      </c>
      <c r="F79" s="33">
        <v>2</v>
      </c>
      <c r="G79" s="33">
        <f t="shared" ref="G79:G81" si="70">F79*C79</f>
        <v>12</v>
      </c>
      <c r="H79" s="34">
        <v>4.09</v>
      </c>
      <c r="I79" s="66" t="str">
        <f t="shared" si="60"/>
        <v> </v>
      </c>
      <c r="J79" s="66" t="str">
        <f t="shared" si="61"/>
        <v> </v>
      </c>
      <c r="K79" s="66" t="str">
        <f t="shared" si="62"/>
        <v> </v>
      </c>
      <c r="L79" s="66" t="str">
        <f t="shared" si="63"/>
        <v> </v>
      </c>
      <c r="M79" s="66" t="str">
        <f t="shared" si="64"/>
        <v> </v>
      </c>
      <c r="N79" s="66">
        <f t="shared" si="65"/>
        <v>77.44824</v>
      </c>
      <c r="O79" s="66" t="str">
        <f t="shared" si="66"/>
        <v> </v>
      </c>
      <c r="P79" s="66" t="str">
        <f t="shared" si="67"/>
        <v> </v>
      </c>
      <c r="Q79" s="66" t="str">
        <f t="shared" si="68"/>
        <v> </v>
      </c>
      <c r="R79" s="81" t="str">
        <f t="shared" si="69"/>
        <v> </v>
      </c>
    </row>
    <row r="80" s="2" customFormat="1" ht="12" customHeight="1" spans="1:18">
      <c r="A80" s="35"/>
      <c r="B80" s="33"/>
      <c r="C80" s="33">
        <v>22</v>
      </c>
      <c r="D80" s="32" t="s">
        <v>256</v>
      </c>
      <c r="E80" s="32">
        <v>6</v>
      </c>
      <c r="F80" s="33">
        <v>2</v>
      </c>
      <c r="G80" s="33">
        <f t="shared" si="70"/>
        <v>44</v>
      </c>
      <c r="H80" s="34">
        <v>0.55</v>
      </c>
      <c r="I80" s="66">
        <f t="shared" si="60"/>
        <v>5.3724</v>
      </c>
      <c r="J80" s="66" t="str">
        <f t="shared" si="61"/>
        <v> </v>
      </c>
      <c r="K80" s="66" t="str">
        <f t="shared" si="62"/>
        <v> </v>
      </c>
      <c r="L80" s="66" t="str">
        <f t="shared" si="63"/>
        <v> </v>
      </c>
      <c r="M80" s="66" t="str">
        <f t="shared" si="64"/>
        <v> </v>
      </c>
      <c r="N80" s="66" t="str">
        <f t="shared" si="65"/>
        <v> </v>
      </c>
      <c r="O80" s="66" t="str">
        <f t="shared" si="66"/>
        <v> </v>
      </c>
      <c r="P80" s="66" t="str">
        <f t="shared" si="67"/>
        <v> </v>
      </c>
      <c r="Q80" s="66" t="str">
        <f t="shared" si="68"/>
        <v> </v>
      </c>
      <c r="R80" s="81" t="str">
        <f t="shared" si="69"/>
        <v> </v>
      </c>
    </row>
    <row r="81" s="2" customFormat="1" ht="12" customHeight="1" spans="1:18">
      <c r="A81" s="35"/>
      <c r="B81" s="36"/>
      <c r="C81" s="33">
        <v>22</v>
      </c>
      <c r="D81" s="32" t="s">
        <v>256</v>
      </c>
      <c r="E81" s="32">
        <v>6</v>
      </c>
      <c r="F81" s="33">
        <v>2</v>
      </c>
      <c r="G81" s="33">
        <f t="shared" si="70"/>
        <v>44</v>
      </c>
      <c r="H81" s="34">
        <v>1.38</v>
      </c>
      <c r="I81" s="66">
        <f t="shared" si="60"/>
        <v>13.47984</v>
      </c>
      <c r="J81" s="66" t="str">
        <f t="shared" si="61"/>
        <v> </v>
      </c>
      <c r="K81" s="66" t="str">
        <f t="shared" si="62"/>
        <v> </v>
      </c>
      <c r="L81" s="66" t="str">
        <f t="shared" si="63"/>
        <v> </v>
      </c>
      <c r="M81" s="66" t="str">
        <f t="shared" si="64"/>
        <v> </v>
      </c>
      <c r="N81" s="66" t="str">
        <f t="shared" si="65"/>
        <v> </v>
      </c>
      <c r="O81" s="66" t="str">
        <f t="shared" si="66"/>
        <v> </v>
      </c>
      <c r="P81" s="66" t="str">
        <f t="shared" si="67"/>
        <v> </v>
      </c>
      <c r="Q81" s="66" t="str">
        <f t="shared" si="68"/>
        <v> </v>
      </c>
      <c r="R81" s="81" t="str">
        <f t="shared" si="69"/>
        <v> </v>
      </c>
    </row>
    <row r="82" s="2" customFormat="1" ht="12" customHeight="1" spans="1:18">
      <c r="A82" s="35"/>
      <c r="B82" s="36"/>
      <c r="C82" s="33"/>
      <c r="D82" s="32"/>
      <c r="E82" s="32"/>
      <c r="F82" s="33"/>
      <c r="G82" s="33"/>
      <c r="H82" s="34"/>
      <c r="I82" s="66" t="str">
        <f t="shared" si="60"/>
        <v> </v>
      </c>
      <c r="J82" s="66" t="str">
        <f t="shared" si="61"/>
        <v> </v>
      </c>
      <c r="K82" s="66" t="str">
        <f t="shared" si="62"/>
        <v> </v>
      </c>
      <c r="L82" s="66" t="str">
        <f t="shared" si="63"/>
        <v> </v>
      </c>
      <c r="M82" s="66" t="str">
        <f t="shared" si="64"/>
        <v> </v>
      </c>
      <c r="N82" s="66" t="str">
        <f t="shared" si="65"/>
        <v> </v>
      </c>
      <c r="O82" s="66" t="str">
        <f t="shared" si="66"/>
        <v> </v>
      </c>
      <c r="P82" s="66" t="str">
        <f t="shared" si="67"/>
        <v> </v>
      </c>
      <c r="Q82" s="66" t="str">
        <f t="shared" si="68"/>
        <v> </v>
      </c>
      <c r="R82" s="81" t="str">
        <f t="shared" si="69"/>
        <v> </v>
      </c>
    </row>
    <row r="83" s="2" customFormat="1" ht="12" customHeight="1" spans="1:18">
      <c r="A83" s="37"/>
      <c r="B83" s="38"/>
      <c r="C83" s="38"/>
      <c r="D83" s="39"/>
      <c r="E83" s="39"/>
      <c r="F83" s="38"/>
      <c r="G83" s="38"/>
      <c r="H83" s="40"/>
      <c r="I83" s="66" t="str">
        <f t="shared" si="60"/>
        <v> </v>
      </c>
      <c r="J83" s="66" t="str">
        <f t="shared" si="61"/>
        <v> </v>
      </c>
      <c r="K83" s="66" t="str">
        <f t="shared" si="62"/>
        <v> </v>
      </c>
      <c r="L83" s="66" t="str">
        <f t="shared" si="63"/>
        <v> </v>
      </c>
      <c r="M83" s="66" t="str">
        <f t="shared" si="64"/>
        <v> </v>
      </c>
      <c r="N83" s="66" t="str">
        <f t="shared" si="65"/>
        <v> </v>
      </c>
      <c r="O83" s="66" t="str">
        <f t="shared" si="66"/>
        <v> </v>
      </c>
      <c r="P83" s="66" t="str">
        <f t="shared" si="67"/>
        <v> </v>
      </c>
      <c r="Q83" s="66" t="str">
        <f t="shared" si="68"/>
        <v> </v>
      </c>
      <c r="R83" s="81" t="str">
        <f t="shared" si="69"/>
        <v> </v>
      </c>
    </row>
    <row r="84" ht="17.25" customHeight="1" spans="1:21">
      <c r="A84" s="41" t="s">
        <v>259</v>
      </c>
      <c r="B84" s="42"/>
      <c r="C84" s="42"/>
      <c r="D84" s="42"/>
      <c r="E84" s="42"/>
      <c r="F84" s="42"/>
      <c r="G84" s="42"/>
      <c r="H84" s="43"/>
      <c r="I84" s="67">
        <v>0.222</v>
      </c>
      <c r="J84" s="68">
        <v>0.397</v>
      </c>
      <c r="K84" s="69">
        <v>0.617</v>
      </c>
      <c r="L84" s="69">
        <v>0.888</v>
      </c>
      <c r="M84" s="69">
        <v>1.208</v>
      </c>
      <c r="N84" s="68">
        <v>1.576</v>
      </c>
      <c r="O84" s="68">
        <v>2.47</v>
      </c>
      <c r="P84" s="69">
        <v>3.854</v>
      </c>
      <c r="Q84" s="69">
        <v>6.313</v>
      </c>
      <c r="R84" s="82">
        <v>9.866</v>
      </c>
      <c r="T84" s="83"/>
      <c r="U84" s="83"/>
    </row>
    <row r="85" ht="15" customHeight="1" spans="1:21">
      <c r="A85" s="44" t="s">
        <v>260</v>
      </c>
      <c r="B85" s="45"/>
      <c r="C85" s="45"/>
      <c r="D85" s="45"/>
      <c r="E85" s="45"/>
      <c r="F85" s="45"/>
      <c r="G85" s="45"/>
      <c r="H85" s="46"/>
      <c r="I85" s="70">
        <f>SUM(I77:I83)</f>
        <v>18.85224</v>
      </c>
      <c r="J85" s="70">
        <f t="shared" ref="J85:R85" si="71">SUM(J77:J83)</f>
        <v>0</v>
      </c>
      <c r="K85" s="70">
        <f t="shared" si="71"/>
        <v>0</v>
      </c>
      <c r="L85" s="70">
        <f t="shared" si="71"/>
        <v>0</v>
      </c>
      <c r="M85" s="70">
        <f t="shared" si="71"/>
        <v>0</v>
      </c>
      <c r="N85" s="70">
        <f t="shared" si="71"/>
        <v>77.44824</v>
      </c>
      <c r="O85" s="70">
        <f t="shared" si="71"/>
        <v>0</v>
      </c>
      <c r="P85" s="70">
        <f t="shared" si="71"/>
        <v>0</v>
      </c>
      <c r="Q85" s="70">
        <f t="shared" si="71"/>
        <v>0</v>
      </c>
      <c r="R85" s="84">
        <f t="shared" si="71"/>
        <v>0</v>
      </c>
      <c r="T85" s="83"/>
      <c r="U85" s="83"/>
    </row>
    <row r="86" s="3" customFormat="1" ht="16.5" customHeight="1" spans="1:21">
      <c r="A86" s="47" t="s">
        <v>261</v>
      </c>
      <c r="B86" s="48"/>
      <c r="C86" s="48"/>
      <c r="D86" s="48"/>
      <c r="E86" s="48"/>
      <c r="F86" s="48"/>
      <c r="G86" s="48"/>
      <c r="H86" s="49"/>
      <c r="I86" s="71"/>
      <c r="J86" s="72"/>
      <c r="K86" s="72"/>
      <c r="L86" s="72"/>
      <c r="M86" s="72"/>
      <c r="N86" s="72"/>
      <c r="O86" s="72"/>
      <c r="P86" s="71"/>
      <c r="Q86" s="71"/>
      <c r="R86" s="85">
        <f>(SUM(I85:R85))</f>
        <v>96.30048</v>
      </c>
      <c r="T86" s="86"/>
      <c r="U86" s="86"/>
    </row>
    <row r="87" ht="15.15" spans="1:18">
      <c r="A87" s="50"/>
      <c r="B87" s="51"/>
      <c r="C87" s="52"/>
      <c r="D87" s="53"/>
      <c r="E87" s="53"/>
      <c r="F87" s="53"/>
      <c r="G87" s="52"/>
      <c r="H87" s="54"/>
      <c r="I87" s="75"/>
      <c r="J87" s="75"/>
      <c r="K87" s="75"/>
      <c r="L87" s="75"/>
      <c r="M87" s="75"/>
      <c r="N87" s="75"/>
      <c r="O87" s="75"/>
      <c r="P87" s="75"/>
      <c r="Q87" s="88"/>
      <c r="R87" s="89"/>
    </row>
    <row r="88" s="1" customFormat="1" ht="21" customHeight="1" spans="1:18">
      <c r="A88" s="16" t="s">
        <v>235</v>
      </c>
      <c r="B88" s="17" t="s">
        <v>236</v>
      </c>
      <c r="C88" s="18" t="s">
        <v>237</v>
      </c>
      <c r="D88" s="17" t="s">
        <v>238</v>
      </c>
      <c r="E88" s="17"/>
      <c r="F88" s="17" t="s">
        <v>239</v>
      </c>
      <c r="G88" s="19" t="s">
        <v>240</v>
      </c>
      <c r="H88" s="20" t="s">
        <v>241</v>
      </c>
      <c r="I88" s="63" t="s">
        <v>242</v>
      </c>
      <c r="J88" s="64"/>
      <c r="K88" s="64"/>
      <c r="L88" s="64"/>
      <c r="M88" s="64"/>
      <c r="N88" s="64"/>
      <c r="O88" s="64"/>
      <c r="P88" s="64"/>
      <c r="Q88" s="64"/>
      <c r="R88" s="79"/>
    </row>
    <row r="89" s="1" customFormat="1" ht="15.75" customHeight="1" spans="1:18">
      <c r="A89" s="21"/>
      <c r="B89" s="22"/>
      <c r="C89" s="23"/>
      <c r="D89" s="22"/>
      <c r="E89" s="22"/>
      <c r="F89" s="22"/>
      <c r="G89" s="24"/>
      <c r="H89" s="25"/>
      <c r="I89" s="65" t="s">
        <v>243</v>
      </c>
      <c r="J89" s="65" t="s">
        <v>244</v>
      </c>
      <c r="K89" s="65" t="s">
        <v>245</v>
      </c>
      <c r="L89" s="65" t="s">
        <v>246</v>
      </c>
      <c r="M89" s="65" t="s">
        <v>247</v>
      </c>
      <c r="N89" s="65" t="s">
        <v>248</v>
      </c>
      <c r="O89" s="65" t="s">
        <v>249</v>
      </c>
      <c r="P89" s="65" t="s">
        <v>250</v>
      </c>
      <c r="Q89" s="65" t="s">
        <v>251</v>
      </c>
      <c r="R89" s="80" t="s">
        <v>252</v>
      </c>
    </row>
    <row r="90" s="2" customFormat="1" ht="14.25" customHeight="1" spans="1:18">
      <c r="A90" s="26" t="s">
        <v>253</v>
      </c>
      <c r="B90" s="27"/>
      <c r="C90" s="27"/>
      <c r="D90" s="27"/>
      <c r="E90" s="27"/>
      <c r="F90" s="27"/>
      <c r="G90" s="27"/>
      <c r="H90" s="28"/>
      <c r="I90" s="66" t="str">
        <f>IF(E90=6,(G90*H90*0.222)," ")</f>
        <v> </v>
      </c>
      <c r="J90" s="66" t="str">
        <f>IF(E90=8,(H90*G90*0.395)," ")</f>
        <v> </v>
      </c>
      <c r="K90" s="66" t="str">
        <f>IF(E90=10,(G90*H90*0.617)," ")</f>
        <v> </v>
      </c>
      <c r="L90" s="66" t="str">
        <f>IF(E90=12,(H90*G90*0.888)," ")</f>
        <v> </v>
      </c>
      <c r="M90" s="66" t="str">
        <f>IF(E90=14,(H90*G90*1.208)," ")</f>
        <v> </v>
      </c>
      <c r="N90" s="66" t="str">
        <f>IF(E90=16,(H90*G90*1.578)," ")</f>
        <v> </v>
      </c>
      <c r="O90" s="66" t="str">
        <f>IF(E90=20,(H90*G90*2.466)," ")</f>
        <v> </v>
      </c>
      <c r="P90" s="66" t="str">
        <f>IF(E90=25,(H90*G90*3.854)," ")</f>
        <v> </v>
      </c>
      <c r="Q90" s="66" t="str">
        <f>IF(E90=32,(H90*G90*6.314)," ")</f>
        <v> </v>
      </c>
      <c r="R90" s="81" t="str">
        <f>IF(E90=40,(H90*G90*9.866)," ")</f>
        <v> </v>
      </c>
    </row>
    <row r="91" s="2" customFormat="1" ht="12" customHeight="1" spans="1:18">
      <c r="A91" s="29" t="s">
        <v>315</v>
      </c>
      <c r="B91" s="30"/>
      <c r="C91" s="31"/>
      <c r="D91" s="32"/>
      <c r="E91" s="32"/>
      <c r="F91" s="33"/>
      <c r="G91" s="33"/>
      <c r="H91" s="34"/>
      <c r="I91" s="66" t="str">
        <f t="shared" ref="I91:I101" si="72">IF(E91=6,(G91*H91*0.222)," ")</f>
        <v> </v>
      </c>
      <c r="J91" s="66" t="str">
        <f t="shared" ref="J91:J101" si="73">IF(E91=8,(H91*G91*0.395)," ")</f>
        <v> </v>
      </c>
      <c r="K91" s="66" t="str">
        <f t="shared" ref="K91:K101" si="74">IF(E91=10,(G91*H91*0.617)," ")</f>
        <v> </v>
      </c>
      <c r="L91" s="66" t="str">
        <f t="shared" ref="L91:L101" si="75">IF(E91=12,(H91*G91*0.888)," ")</f>
        <v> </v>
      </c>
      <c r="M91" s="66" t="str">
        <f t="shared" ref="M91:M101" si="76">IF(E91=14,(H91*G91*1.208)," ")</f>
        <v> </v>
      </c>
      <c r="N91" s="66" t="str">
        <f t="shared" ref="N91:N101" si="77">IF(E91=16,(H91*G91*1.578)," ")</f>
        <v> </v>
      </c>
      <c r="O91" s="66" t="str">
        <f t="shared" ref="O91:O101" si="78">IF(E91=20,(H91*G91*2.466)," ")</f>
        <v> </v>
      </c>
      <c r="P91" s="66" t="str">
        <f t="shared" ref="P91:P101" si="79">IF(E91=25,(H91*G91*3.854)," ")</f>
        <v> </v>
      </c>
      <c r="Q91" s="66" t="str">
        <f t="shared" ref="Q91:Q101" si="80">IF(E91=32,(H91*G91*6.314)," ")</f>
        <v> </v>
      </c>
      <c r="R91" s="81" t="str">
        <f t="shared" ref="R91:R101" si="81">IF(E91=40,(H91*G91*9.866)," ")</f>
        <v> </v>
      </c>
    </row>
    <row r="92" s="2" customFormat="1" ht="12" customHeight="1" spans="1:18">
      <c r="A92" s="35"/>
      <c r="B92" s="36"/>
      <c r="C92" s="33">
        <v>3</v>
      </c>
      <c r="D92" s="32" t="s">
        <v>256</v>
      </c>
      <c r="E92" s="32">
        <v>16</v>
      </c>
      <c r="F92" s="33">
        <v>2</v>
      </c>
      <c r="G92" s="33">
        <f t="shared" ref="G92:G99" si="82">F92*C92</f>
        <v>6</v>
      </c>
      <c r="H92" s="34">
        <v>4.76</v>
      </c>
      <c r="I92" s="66" t="str">
        <f t="shared" si="72"/>
        <v> </v>
      </c>
      <c r="J92" s="66" t="str">
        <f t="shared" si="73"/>
        <v> </v>
      </c>
      <c r="K92" s="66" t="str">
        <f t="shared" si="74"/>
        <v> </v>
      </c>
      <c r="L92" s="66" t="str">
        <f t="shared" si="75"/>
        <v> </v>
      </c>
      <c r="M92" s="66" t="str">
        <f t="shared" si="76"/>
        <v> </v>
      </c>
      <c r="N92" s="66">
        <f t="shared" si="77"/>
        <v>45.06768</v>
      </c>
      <c r="O92" s="66" t="str">
        <f t="shared" si="78"/>
        <v> </v>
      </c>
      <c r="P92" s="66" t="str">
        <f t="shared" si="79"/>
        <v> </v>
      </c>
      <c r="Q92" s="66" t="str">
        <f t="shared" si="80"/>
        <v> </v>
      </c>
      <c r="R92" s="81" t="str">
        <f t="shared" si="81"/>
        <v> </v>
      </c>
    </row>
    <row r="93" s="2" customFormat="1" ht="12" customHeight="1" spans="1:18">
      <c r="A93" s="35"/>
      <c r="B93" s="33"/>
      <c r="C93" s="33">
        <v>3</v>
      </c>
      <c r="D93" s="32" t="s">
        <v>256</v>
      </c>
      <c r="E93" s="32">
        <v>16</v>
      </c>
      <c r="F93" s="33">
        <v>2</v>
      </c>
      <c r="G93" s="33">
        <f t="shared" si="82"/>
        <v>6</v>
      </c>
      <c r="H93" s="34">
        <v>7.9</v>
      </c>
      <c r="I93" s="66" t="str">
        <f t="shared" si="72"/>
        <v> </v>
      </c>
      <c r="J93" s="66" t="str">
        <f t="shared" si="73"/>
        <v> </v>
      </c>
      <c r="K93" s="66" t="str">
        <f t="shared" si="74"/>
        <v> </v>
      </c>
      <c r="L93" s="66" t="str">
        <f t="shared" si="75"/>
        <v> </v>
      </c>
      <c r="M93" s="66" t="str">
        <f t="shared" si="76"/>
        <v> </v>
      </c>
      <c r="N93" s="66">
        <f t="shared" si="77"/>
        <v>74.7972</v>
      </c>
      <c r="O93" s="66" t="str">
        <f t="shared" si="78"/>
        <v> </v>
      </c>
      <c r="P93" s="66" t="str">
        <f t="shared" si="79"/>
        <v> </v>
      </c>
      <c r="Q93" s="66" t="str">
        <f t="shared" si="80"/>
        <v> </v>
      </c>
      <c r="R93" s="81" t="str">
        <f t="shared" si="81"/>
        <v> </v>
      </c>
    </row>
    <row r="94" s="2" customFormat="1" ht="12" customHeight="1" spans="1:18">
      <c r="A94" s="35"/>
      <c r="B94" s="36"/>
      <c r="C94" s="33">
        <v>30</v>
      </c>
      <c r="D94" s="32" t="s">
        <v>256</v>
      </c>
      <c r="E94" s="32">
        <v>6</v>
      </c>
      <c r="F94" s="33">
        <v>2</v>
      </c>
      <c r="G94" s="33">
        <f t="shared" si="82"/>
        <v>60</v>
      </c>
      <c r="H94" s="34">
        <v>0.4</v>
      </c>
      <c r="I94" s="66">
        <f t="shared" si="72"/>
        <v>5.328</v>
      </c>
      <c r="J94" s="66" t="str">
        <f t="shared" si="73"/>
        <v> </v>
      </c>
      <c r="K94" s="66" t="str">
        <f t="shared" si="74"/>
        <v> </v>
      </c>
      <c r="L94" s="66" t="str">
        <f t="shared" si="75"/>
        <v> </v>
      </c>
      <c r="M94" s="66" t="str">
        <f t="shared" si="76"/>
        <v> </v>
      </c>
      <c r="N94" s="66" t="str">
        <f t="shared" si="77"/>
        <v> </v>
      </c>
      <c r="O94" s="66" t="str">
        <f t="shared" si="78"/>
        <v> </v>
      </c>
      <c r="P94" s="66" t="str">
        <f t="shared" si="79"/>
        <v> </v>
      </c>
      <c r="Q94" s="66" t="str">
        <f t="shared" si="80"/>
        <v> </v>
      </c>
      <c r="R94" s="81" t="str">
        <f t="shared" si="81"/>
        <v> </v>
      </c>
    </row>
    <row r="95" s="2" customFormat="1" ht="12" customHeight="1" spans="1:18">
      <c r="A95" s="35"/>
      <c r="B95" s="36"/>
      <c r="C95" s="33">
        <v>49</v>
      </c>
      <c r="D95" s="32" t="s">
        <v>256</v>
      </c>
      <c r="E95" s="32">
        <v>6</v>
      </c>
      <c r="F95" s="33">
        <v>2</v>
      </c>
      <c r="G95" s="33">
        <f t="shared" si="82"/>
        <v>98</v>
      </c>
      <c r="H95" s="34">
        <v>1.98</v>
      </c>
      <c r="I95" s="66">
        <f t="shared" si="72"/>
        <v>43.07688</v>
      </c>
      <c r="J95" s="66" t="str">
        <f t="shared" si="73"/>
        <v> </v>
      </c>
      <c r="K95" s="66" t="str">
        <f t="shared" si="74"/>
        <v> </v>
      </c>
      <c r="L95" s="66" t="str">
        <f t="shared" si="75"/>
        <v> </v>
      </c>
      <c r="M95" s="66" t="str">
        <f t="shared" si="76"/>
        <v> </v>
      </c>
      <c r="N95" s="66" t="str">
        <f t="shared" si="77"/>
        <v> </v>
      </c>
      <c r="O95" s="66" t="str">
        <f t="shared" si="78"/>
        <v> </v>
      </c>
      <c r="P95" s="66" t="str">
        <f t="shared" si="79"/>
        <v> </v>
      </c>
      <c r="Q95" s="66" t="str">
        <f t="shared" si="80"/>
        <v> </v>
      </c>
      <c r="R95" s="81" t="str">
        <f t="shared" si="81"/>
        <v> </v>
      </c>
    </row>
    <row r="96" s="2" customFormat="1" ht="12" customHeight="1" spans="1:18">
      <c r="A96" s="35"/>
      <c r="B96" s="33"/>
      <c r="C96" s="33">
        <v>3</v>
      </c>
      <c r="D96" s="32" t="s">
        <v>256</v>
      </c>
      <c r="E96" s="32">
        <v>20</v>
      </c>
      <c r="F96" s="33">
        <v>2</v>
      </c>
      <c r="G96" s="33">
        <f t="shared" si="82"/>
        <v>6</v>
      </c>
      <c r="H96" s="34">
        <v>7.49</v>
      </c>
      <c r="I96" s="66" t="str">
        <f t="shared" si="72"/>
        <v> </v>
      </c>
      <c r="J96" s="66" t="str">
        <f t="shared" si="73"/>
        <v> </v>
      </c>
      <c r="K96" s="66" t="str">
        <f t="shared" si="74"/>
        <v> </v>
      </c>
      <c r="L96" s="66" t="str">
        <f t="shared" si="75"/>
        <v> </v>
      </c>
      <c r="M96" s="66" t="str">
        <f t="shared" si="76"/>
        <v> </v>
      </c>
      <c r="N96" s="66" t="str">
        <f t="shared" si="77"/>
        <v> </v>
      </c>
      <c r="O96" s="66">
        <f t="shared" si="78"/>
        <v>110.82204</v>
      </c>
      <c r="P96" s="66" t="str">
        <f t="shared" si="79"/>
        <v> </v>
      </c>
      <c r="Q96" s="66" t="str">
        <f t="shared" si="80"/>
        <v> </v>
      </c>
      <c r="R96" s="81" t="str">
        <f t="shared" si="81"/>
        <v> </v>
      </c>
    </row>
    <row r="97" s="2" customFormat="1" ht="12" customHeight="1" spans="1:18">
      <c r="A97" s="35"/>
      <c r="B97" s="36"/>
      <c r="C97" s="33">
        <v>3</v>
      </c>
      <c r="D97" s="32" t="s">
        <v>256</v>
      </c>
      <c r="E97" s="32">
        <v>8</v>
      </c>
      <c r="F97" s="33">
        <v>2</v>
      </c>
      <c r="G97" s="33">
        <f t="shared" si="82"/>
        <v>6</v>
      </c>
      <c r="H97" s="34">
        <v>6.87</v>
      </c>
      <c r="I97" s="66" t="str">
        <f t="shared" si="72"/>
        <v> </v>
      </c>
      <c r="J97" s="66">
        <f t="shared" si="73"/>
        <v>16.2819</v>
      </c>
      <c r="K97" s="66" t="str">
        <f t="shared" si="74"/>
        <v> </v>
      </c>
      <c r="L97" s="66" t="str">
        <f t="shared" si="75"/>
        <v> </v>
      </c>
      <c r="M97" s="66" t="str">
        <f t="shared" si="76"/>
        <v> </v>
      </c>
      <c r="N97" s="66" t="str">
        <f t="shared" si="77"/>
        <v> </v>
      </c>
      <c r="O97" s="66" t="str">
        <f t="shared" si="78"/>
        <v> </v>
      </c>
      <c r="P97" s="66" t="str">
        <f t="shared" si="79"/>
        <v> </v>
      </c>
      <c r="Q97" s="66" t="str">
        <f t="shared" si="80"/>
        <v> </v>
      </c>
      <c r="R97" s="81" t="str">
        <f t="shared" si="81"/>
        <v> </v>
      </c>
    </row>
    <row r="98" s="2" customFormat="1" ht="12" customHeight="1" spans="1:18">
      <c r="A98" s="35"/>
      <c r="B98" s="36"/>
      <c r="C98" s="33">
        <v>49</v>
      </c>
      <c r="D98" s="32" t="s">
        <v>256</v>
      </c>
      <c r="E98" s="32">
        <v>6</v>
      </c>
      <c r="F98" s="33">
        <v>2</v>
      </c>
      <c r="G98" s="33">
        <f t="shared" si="82"/>
        <v>98</v>
      </c>
      <c r="H98" s="34">
        <v>0.85</v>
      </c>
      <c r="I98" s="66">
        <f t="shared" si="72"/>
        <v>18.4926</v>
      </c>
      <c r="J98" s="66" t="str">
        <f t="shared" si="73"/>
        <v> </v>
      </c>
      <c r="K98" s="66" t="str">
        <f t="shared" si="74"/>
        <v> </v>
      </c>
      <c r="L98" s="66" t="str">
        <f t="shared" si="75"/>
        <v> </v>
      </c>
      <c r="M98" s="66" t="str">
        <f t="shared" si="76"/>
        <v> </v>
      </c>
      <c r="N98" s="66" t="str">
        <f t="shared" si="77"/>
        <v> </v>
      </c>
      <c r="O98" s="66" t="str">
        <f t="shared" si="78"/>
        <v> </v>
      </c>
      <c r="P98" s="66" t="str">
        <f t="shared" si="79"/>
        <v> </v>
      </c>
      <c r="Q98" s="66" t="str">
        <f t="shared" si="80"/>
        <v> </v>
      </c>
      <c r="R98" s="81" t="str">
        <f t="shared" si="81"/>
        <v> </v>
      </c>
    </row>
    <row r="99" s="2" customFormat="1" ht="12" customHeight="1" spans="1:18">
      <c r="A99" s="35"/>
      <c r="B99" s="33"/>
      <c r="C99" s="33">
        <v>4</v>
      </c>
      <c r="D99" s="32" t="s">
        <v>256</v>
      </c>
      <c r="E99" s="32">
        <v>10</v>
      </c>
      <c r="F99" s="33">
        <v>2</v>
      </c>
      <c r="G99" s="33">
        <f t="shared" si="82"/>
        <v>8</v>
      </c>
      <c r="H99" s="34">
        <v>6.65</v>
      </c>
      <c r="I99" s="66" t="str">
        <f t="shared" si="72"/>
        <v> </v>
      </c>
      <c r="J99" s="66" t="str">
        <f t="shared" si="73"/>
        <v> </v>
      </c>
      <c r="K99" s="66">
        <f t="shared" si="74"/>
        <v>32.8244</v>
      </c>
      <c r="L99" s="66" t="str">
        <f t="shared" si="75"/>
        <v> </v>
      </c>
      <c r="M99" s="66" t="str">
        <f t="shared" si="76"/>
        <v> </v>
      </c>
      <c r="N99" s="66" t="str">
        <f t="shared" si="77"/>
        <v> </v>
      </c>
      <c r="O99" s="66" t="str">
        <f t="shared" si="78"/>
        <v> </v>
      </c>
      <c r="P99" s="66" t="str">
        <f t="shared" si="79"/>
        <v> </v>
      </c>
      <c r="Q99" s="66" t="str">
        <f t="shared" si="80"/>
        <v> </v>
      </c>
      <c r="R99" s="81" t="str">
        <f t="shared" si="81"/>
        <v> </v>
      </c>
    </row>
    <row r="100" s="2" customFormat="1" ht="12" customHeight="1" spans="1:18">
      <c r="A100" s="35"/>
      <c r="B100" s="36"/>
      <c r="C100" s="33"/>
      <c r="D100" s="32"/>
      <c r="E100" s="32"/>
      <c r="F100" s="33"/>
      <c r="G100" s="33"/>
      <c r="H100" s="34"/>
      <c r="I100" s="66" t="str">
        <f t="shared" si="72"/>
        <v> </v>
      </c>
      <c r="J100" s="66" t="str">
        <f t="shared" si="73"/>
        <v> </v>
      </c>
      <c r="K100" s="66" t="str">
        <f t="shared" si="74"/>
        <v> </v>
      </c>
      <c r="L100" s="66" t="str">
        <f t="shared" si="75"/>
        <v> </v>
      </c>
      <c r="M100" s="66" t="str">
        <f t="shared" si="76"/>
        <v> </v>
      </c>
      <c r="N100" s="66" t="str">
        <f t="shared" si="77"/>
        <v> </v>
      </c>
      <c r="O100" s="66" t="str">
        <f t="shared" si="78"/>
        <v> </v>
      </c>
      <c r="P100" s="66" t="str">
        <f t="shared" si="79"/>
        <v> </v>
      </c>
      <c r="Q100" s="66" t="str">
        <f t="shared" si="80"/>
        <v> </v>
      </c>
      <c r="R100" s="81" t="str">
        <f t="shared" si="81"/>
        <v> </v>
      </c>
    </row>
    <row r="101" s="2" customFormat="1" ht="12" customHeight="1" spans="1:18">
      <c r="A101" s="37"/>
      <c r="B101" s="38"/>
      <c r="C101" s="38"/>
      <c r="D101" s="39"/>
      <c r="E101" s="39"/>
      <c r="F101" s="38"/>
      <c r="G101" s="38"/>
      <c r="H101" s="40"/>
      <c r="I101" s="66" t="str">
        <f t="shared" si="72"/>
        <v> </v>
      </c>
      <c r="J101" s="66" t="str">
        <f t="shared" si="73"/>
        <v> </v>
      </c>
      <c r="K101" s="66" t="str">
        <f t="shared" si="74"/>
        <v> </v>
      </c>
      <c r="L101" s="66" t="str">
        <f t="shared" si="75"/>
        <v> </v>
      </c>
      <c r="M101" s="66" t="str">
        <f t="shared" si="76"/>
        <v> </v>
      </c>
      <c r="N101" s="66" t="str">
        <f t="shared" si="77"/>
        <v> </v>
      </c>
      <c r="O101" s="66" t="str">
        <f t="shared" si="78"/>
        <v> </v>
      </c>
      <c r="P101" s="66" t="str">
        <f t="shared" si="79"/>
        <v> </v>
      </c>
      <c r="Q101" s="66" t="str">
        <f t="shared" si="80"/>
        <v> </v>
      </c>
      <c r="R101" s="81" t="str">
        <f t="shared" si="81"/>
        <v> </v>
      </c>
    </row>
    <row r="102" ht="17.25" customHeight="1" spans="1:21">
      <c r="A102" s="41" t="s">
        <v>259</v>
      </c>
      <c r="B102" s="42"/>
      <c r="C102" s="42"/>
      <c r="D102" s="42"/>
      <c r="E102" s="42"/>
      <c r="F102" s="42"/>
      <c r="G102" s="42"/>
      <c r="H102" s="43"/>
      <c r="I102" s="67">
        <v>0.222</v>
      </c>
      <c r="J102" s="68">
        <v>0.397</v>
      </c>
      <c r="K102" s="69">
        <v>0.617</v>
      </c>
      <c r="L102" s="69">
        <v>0.888</v>
      </c>
      <c r="M102" s="69">
        <v>1.208</v>
      </c>
      <c r="N102" s="68">
        <v>1.576</v>
      </c>
      <c r="O102" s="68">
        <v>2.47</v>
      </c>
      <c r="P102" s="69">
        <v>3.854</v>
      </c>
      <c r="Q102" s="69">
        <v>6.313</v>
      </c>
      <c r="R102" s="82">
        <v>9.866</v>
      </c>
      <c r="T102" s="83"/>
      <c r="U102" s="83"/>
    </row>
    <row r="103" ht="15" customHeight="1" spans="1:21">
      <c r="A103" s="44" t="s">
        <v>260</v>
      </c>
      <c r="B103" s="45"/>
      <c r="C103" s="45"/>
      <c r="D103" s="45"/>
      <c r="E103" s="45"/>
      <c r="F103" s="45"/>
      <c r="G103" s="45"/>
      <c r="H103" s="46"/>
      <c r="I103" s="70">
        <f>SUM(I90:I101)</f>
        <v>66.89748</v>
      </c>
      <c r="J103" s="70">
        <f t="shared" ref="J103:R103" si="83">SUM(J90:J101)</f>
        <v>16.2819</v>
      </c>
      <c r="K103" s="70">
        <f t="shared" si="83"/>
        <v>32.8244</v>
      </c>
      <c r="L103" s="70">
        <f t="shared" si="83"/>
        <v>0</v>
      </c>
      <c r="M103" s="70">
        <f t="shared" si="83"/>
        <v>0</v>
      </c>
      <c r="N103" s="70">
        <f t="shared" si="83"/>
        <v>119.86488</v>
      </c>
      <c r="O103" s="70">
        <f t="shared" si="83"/>
        <v>110.82204</v>
      </c>
      <c r="P103" s="70">
        <f t="shared" si="83"/>
        <v>0</v>
      </c>
      <c r="Q103" s="70">
        <f t="shared" si="83"/>
        <v>0</v>
      </c>
      <c r="R103" s="84">
        <f t="shared" si="83"/>
        <v>0</v>
      </c>
      <c r="T103" s="83"/>
      <c r="U103" s="83"/>
    </row>
    <row r="104" s="3" customFormat="1" ht="16.5" customHeight="1" spans="1:21">
      <c r="A104" s="47" t="s">
        <v>261</v>
      </c>
      <c r="B104" s="48"/>
      <c r="C104" s="48"/>
      <c r="D104" s="48"/>
      <c r="E104" s="48"/>
      <c r="F104" s="48"/>
      <c r="G104" s="48"/>
      <c r="H104" s="49"/>
      <c r="I104" s="71"/>
      <c r="J104" s="72"/>
      <c r="K104" s="72"/>
      <c r="L104" s="72"/>
      <c r="M104" s="72"/>
      <c r="N104" s="72"/>
      <c r="O104" s="72"/>
      <c r="P104" s="71"/>
      <c r="Q104" s="71"/>
      <c r="R104" s="85">
        <f>(SUM(I103:R103))</f>
        <v>346.6907</v>
      </c>
      <c r="T104" s="86"/>
      <c r="U104" s="86"/>
    </row>
    <row r="105" ht="15.15" spans="1:18">
      <c r="A105" s="50"/>
      <c r="B105" s="51"/>
      <c r="C105" s="52"/>
      <c r="D105" s="53"/>
      <c r="E105" s="53"/>
      <c r="F105" s="53"/>
      <c r="G105" s="52"/>
      <c r="H105" s="54"/>
      <c r="I105" s="75"/>
      <c r="J105" s="75"/>
      <c r="K105" s="75"/>
      <c r="L105" s="75"/>
      <c r="M105" s="75"/>
      <c r="N105" s="75"/>
      <c r="O105" s="75"/>
      <c r="P105" s="75"/>
      <c r="Q105" s="88"/>
      <c r="R105" s="89"/>
    </row>
    <row r="106" s="1" customFormat="1" ht="21" customHeight="1" spans="1:18">
      <c r="A106" s="16" t="s">
        <v>235</v>
      </c>
      <c r="B106" s="17" t="s">
        <v>236</v>
      </c>
      <c r="C106" s="18" t="s">
        <v>237</v>
      </c>
      <c r="D106" s="17" t="s">
        <v>238</v>
      </c>
      <c r="E106" s="17"/>
      <c r="F106" s="17" t="s">
        <v>239</v>
      </c>
      <c r="G106" s="19" t="s">
        <v>240</v>
      </c>
      <c r="H106" s="20" t="s">
        <v>241</v>
      </c>
      <c r="I106" s="63" t="s">
        <v>242</v>
      </c>
      <c r="J106" s="64"/>
      <c r="K106" s="64"/>
      <c r="L106" s="64"/>
      <c r="M106" s="64"/>
      <c r="N106" s="64"/>
      <c r="O106" s="64"/>
      <c r="P106" s="64"/>
      <c r="Q106" s="64"/>
      <c r="R106" s="79"/>
    </row>
    <row r="107" s="1" customFormat="1" ht="15.75" customHeight="1" spans="1:18">
      <c r="A107" s="21"/>
      <c r="B107" s="22"/>
      <c r="C107" s="23"/>
      <c r="D107" s="22"/>
      <c r="E107" s="22"/>
      <c r="F107" s="22"/>
      <c r="G107" s="24"/>
      <c r="H107" s="25"/>
      <c r="I107" s="65" t="s">
        <v>243</v>
      </c>
      <c r="J107" s="65" t="s">
        <v>244</v>
      </c>
      <c r="K107" s="65" t="s">
        <v>245</v>
      </c>
      <c r="L107" s="65" t="s">
        <v>246</v>
      </c>
      <c r="M107" s="65" t="s">
        <v>247</v>
      </c>
      <c r="N107" s="65" t="s">
        <v>248</v>
      </c>
      <c r="O107" s="65" t="s">
        <v>249</v>
      </c>
      <c r="P107" s="65" t="s">
        <v>250</v>
      </c>
      <c r="Q107" s="65" t="s">
        <v>251</v>
      </c>
      <c r="R107" s="80" t="s">
        <v>252</v>
      </c>
    </row>
    <row r="108" s="2" customFormat="1" ht="14.25" customHeight="1" spans="1:18">
      <c r="A108" s="26" t="s">
        <v>253</v>
      </c>
      <c r="B108" s="27"/>
      <c r="C108" s="27"/>
      <c r="D108" s="27"/>
      <c r="E108" s="27"/>
      <c r="F108" s="27"/>
      <c r="G108" s="27"/>
      <c r="H108" s="28"/>
      <c r="I108" s="66" t="str">
        <f>IF(E108=6,(G108*H108*0.222)," ")</f>
        <v> </v>
      </c>
      <c r="J108" s="66" t="str">
        <f>IF(E108=8,(H108*G108*0.395)," ")</f>
        <v> </v>
      </c>
      <c r="K108" s="66" t="str">
        <f>IF(E108=10,(G108*H108*0.617)," ")</f>
        <v> </v>
      </c>
      <c r="L108" s="66" t="str">
        <f>IF(E108=12,(H108*G108*0.888)," ")</f>
        <v> </v>
      </c>
      <c r="M108" s="66" t="str">
        <f>IF(E108=14,(H108*G108*1.208)," ")</f>
        <v> </v>
      </c>
      <c r="N108" s="66" t="str">
        <f>IF(E108=16,(H108*G108*1.578)," ")</f>
        <v> </v>
      </c>
      <c r="O108" s="66" t="str">
        <f>IF(E108=20,(H108*G108*2.466)," ")</f>
        <v> </v>
      </c>
      <c r="P108" s="66" t="str">
        <f>IF(E108=25,(H108*G108*3.854)," ")</f>
        <v> </v>
      </c>
      <c r="Q108" s="66" t="str">
        <f>IF(E108=32,(H108*G108*6.314)," ")</f>
        <v> </v>
      </c>
      <c r="R108" s="81" t="str">
        <f>IF(E108=40,(H108*G108*9.866)," ")</f>
        <v> </v>
      </c>
    </row>
    <row r="109" s="2" customFormat="1" ht="12" customHeight="1" spans="1:18">
      <c r="A109" s="29" t="s">
        <v>316</v>
      </c>
      <c r="B109" s="30"/>
      <c r="C109" s="31"/>
      <c r="D109" s="32"/>
      <c r="E109" s="32"/>
      <c r="F109" s="33"/>
      <c r="G109" s="33"/>
      <c r="H109" s="34"/>
      <c r="I109" s="66" t="str">
        <f t="shared" ref="I109:I118" si="84">IF(E109=6,(G109*H109*0.222)," ")</f>
        <v> </v>
      </c>
      <c r="J109" s="66" t="str">
        <f t="shared" ref="J109:J118" si="85">IF(E109=8,(H109*G109*0.395)," ")</f>
        <v> </v>
      </c>
      <c r="K109" s="66" t="str">
        <f t="shared" ref="K109:K118" si="86">IF(E109=10,(G109*H109*0.617)," ")</f>
        <v> </v>
      </c>
      <c r="L109" s="66" t="str">
        <f t="shared" ref="L109:L118" si="87">IF(E109=12,(H109*G109*0.888)," ")</f>
        <v> </v>
      </c>
      <c r="M109" s="66" t="str">
        <f t="shared" ref="M109:M118" si="88">IF(E109=14,(H109*G109*1.208)," ")</f>
        <v> </v>
      </c>
      <c r="N109" s="66" t="str">
        <f t="shared" ref="N109:N118" si="89">IF(E109=16,(H109*G109*1.578)," ")</f>
        <v> </v>
      </c>
      <c r="O109" s="66" t="str">
        <f t="shared" ref="O109:O118" si="90">IF(E109=20,(H109*G109*2.466)," ")</f>
        <v> </v>
      </c>
      <c r="P109" s="66" t="str">
        <f t="shared" ref="P109:P118" si="91">IF(E109=25,(H109*G109*3.854)," ")</f>
        <v> </v>
      </c>
      <c r="Q109" s="66" t="str">
        <f t="shared" ref="Q109:Q118" si="92">IF(E109=32,(H109*G109*6.314)," ")</f>
        <v> </v>
      </c>
      <c r="R109" s="81" t="str">
        <f t="shared" ref="R109:R118" si="93">IF(E109=40,(H109*G109*9.866)," ")</f>
        <v> </v>
      </c>
    </row>
    <row r="110" s="2" customFormat="1" ht="12" customHeight="1" spans="1:18">
      <c r="A110" s="35"/>
      <c r="B110" s="36"/>
      <c r="C110" s="33">
        <v>43</v>
      </c>
      <c r="D110" s="32" t="s">
        <v>256</v>
      </c>
      <c r="E110" s="32">
        <v>6</v>
      </c>
      <c r="F110" s="33">
        <v>2</v>
      </c>
      <c r="G110" s="33">
        <f t="shared" ref="G110:G116" si="94">F110*C110</f>
        <v>86</v>
      </c>
      <c r="H110" s="34">
        <v>0.85</v>
      </c>
      <c r="I110" s="66">
        <f t="shared" si="84"/>
        <v>16.2282</v>
      </c>
      <c r="J110" s="66" t="str">
        <f t="shared" si="85"/>
        <v> </v>
      </c>
      <c r="K110" s="66" t="str">
        <f t="shared" si="86"/>
        <v> </v>
      </c>
      <c r="L110" s="66" t="str">
        <f t="shared" si="87"/>
        <v> </v>
      </c>
      <c r="M110" s="66" t="str">
        <f t="shared" si="88"/>
        <v> </v>
      </c>
      <c r="N110" s="66" t="str">
        <f t="shared" si="89"/>
        <v> </v>
      </c>
      <c r="O110" s="66" t="str">
        <f t="shared" si="90"/>
        <v> </v>
      </c>
      <c r="P110" s="66" t="str">
        <f t="shared" si="91"/>
        <v> </v>
      </c>
      <c r="Q110" s="66" t="str">
        <f t="shared" si="92"/>
        <v> </v>
      </c>
      <c r="R110" s="81" t="str">
        <f t="shared" si="93"/>
        <v> </v>
      </c>
    </row>
    <row r="111" s="2" customFormat="1" ht="12" customHeight="1" spans="1:18">
      <c r="A111" s="35"/>
      <c r="B111" s="33"/>
      <c r="C111" s="33">
        <v>42</v>
      </c>
      <c r="D111" s="32" t="s">
        <v>256</v>
      </c>
      <c r="E111" s="32">
        <v>6</v>
      </c>
      <c r="F111" s="33">
        <v>2</v>
      </c>
      <c r="G111" s="33">
        <f t="shared" si="94"/>
        <v>84</v>
      </c>
      <c r="H111" s="34">
        <v>1.97</v>
      </c>
      <c r="I111" s="66">
        <f t="shared" si="84"/>
        <v>36.73656</v>
      </c>
      <c r="J111" s="66" t="str">
        <f t="shared" si="85"/>
        <v> </v>
      </c>
      <c r="K111" s="66" t="str">
        <f t="shared" si="86"/>
        <v> </v>
      </c>
      <c r="L111" s="66" t="str">
        <f t="shared" si="87"/>
        <v> </v>
      </c>
      <c r="M111" s="66" t="str">
        <f t="shared" si="88"/>
        <v> </v>
      </c>
      <c r="N111" s="66" t="str">
        <f t="shared" si="89"/>
        <v> </v>
      </c>
      <c r="O111" s="66" t="str">
        <f t="shared" si="90"/>
        <v> </v>
      </c>
      <c r="P111" s="66" t="str">
        <f t="shared" si="91"/>
        <v> </v>
      </c>
      <c r="Q111" s="66" t="str">
        <f t="shared" si="92"/>
        <v> </v>
      </c>
      <c r="R111" s="81" t="str">
        <f t="shared" si="93"/>
        <v> </v>
      </c>
    </row>
    <row r="112" s="2" customFormat="1" ht="12" customHeight="1" spans="1:18">
      <c r="A112" s="35"/>
      <c r="B112" s="36"/>
      <c r="C112" s="33">
        <v>1</v>
      </c>
      <c r="D112" s="32" t="s">
        <v>256</v>
      </c>
      <c r="E112" s="32">
        <v>6</v>
      </c>
      <c r="F112" s="33">
        <v>2</v>
      </c>
      <c r="G112" s="33">
        <f t="shared" si="94"/>
        <v>2</v>
      </c>
      <c r="H112" s="34">
        <v>1.95</v>
      </c>
      <c r="I112" s="66">
        <f t="shared" si="84"/>
        <v>0.8658</v>
      </c>
      <c r="J112" s="66" t="str">
        <f t="shared" si="85"/>
        <v> </v>
      </c>
      <c r="K112" s="66" t="str">
        <f t="shared" si="86"/>
        <v> </v>
      </c>
      <c r="L112" s="66" t="str">
        <f t="shared" si="87"/>
        <v> </v>
      </c>
      <c r="M112" s="66" t="str">
        <f t="shared" si="88"/>
        <v> </v>
      </c>
      <c r="N112" s="66" t="str">
        <f t="shared" si="89"/>
        <v> </v>
      </c>
      <c r="O112" s="66" t="str">
        <f t="shared" si="90"/>
        <v> </v>
      </c>
      <c r="P112" s="66" t="str">
        <f t="shared" si="91"/>
        <v> </v>
      </c>
      <c r="Q112" s="66" t="str">
        <f t="shared" si="92"/>
        <v> </v>
      </c>
      <c r="R112" s="81" t="str">
        <f t="shared" si="93"/>
        <v> </v>
      </c>
    </row>
    <row r="113" s="2" customFormat="1" ht="12" customHeight="1" spans="1:18">
      <c r="A113" s="35"/>
      <c r="B113" s="36"/>
      <c r="C113" s="33">
        <v>3</v>
      </c>
      <c r="D113" s="32" t="s">
        <v>256</v>
      </c>
      <c r="E113" s="32">
        <v>20</v>
      </c>
      <c r="F113" s="33">
        <v>2</v>
      </c>
      <c r="G113" s="33">
        <f t="shared" si="94"/>
        <v>6</v>
      </c>
      <c r="H113" s="34">
        <v>4.39</v>
      </c>
      <c r="I113" s="66" t="str">
        <f t="shared" si="84"/>
        <v> </v>
      </c>
      <c r="J113" s="66" t="str">
        <f t="shared" si="85"/>
        <v> </v>
      </c>
      <c r="K113" s="66" t="str">
        <f t="shared" si="86"/>
        <v> </v>
      </c>
      <c r="L113" s="66" t="str">
        <f t="shared" si="87"/>
        <v> </v>
      </c>
      <c r="M113" s="66" t="str">
        <f t="shared" si="88"/>
        <v> </v>
      </c>
      <c r="N113" s="66" t="str">
        <f t="shared" si="89"/>
        <v> </v>
      </c>
      <c r="O113" s="66">
        <f t="shared" si="90"/>
        <v>64.95444</v>
      </c>
      <c r="P113" s="66" t="str">
        <f t="shared" si="91"/>
        <v> </v>
      </c>
      <c r="Q113" s="66" t="str">
        <f t="shared" si="92"/>
        <v> </v>
      </c>
      <c r="R113" s="81" t="str">
        <f t="shared" si="93"/>
        <v> </v>
      </c>
    </row>
    <row r="114" s="2" customFormat="1" ht="12" customHeight="1" spans="1:18">
      <c r="A114" s="35"/>
      <c r="B114" s="33"/>
      <c r="C114" s="33">
        <v>3</v>
      </c>
      <c r="D114" s="32" t="s">
        <v>256</v>
      </c>
      <c r="E114" s="32">
        <v>8</v>
      </c>
      <c r="F114" s="33">
        <v>2</v>
      </c>
      <c r="G114" s="33">
        <f t="shared" si="94"/>
        <v>6</v>
      </c>
      <c r="H114" s="34">
        <v>4.38</v>
      </c>
      <c r="I114" s="66" t="str">
        <f t="shared" si="84"/>
        <v> </v>
      </c>
      <c r="J114" s="66">
        <f t="shared" si="85"/>
        <v>10.3806</v>
      </c>
      <c r="K114" s="66" t="str">
        <f t="shared" si="86"/>
        <v> </v>
      </c>
      <c r="L114" s="66" t="str">
        <f t="shared" si="87"/>
        <v> </v>
      </c>
      <c r="M114" s="66" t="str">
        <f t="shared" si="88"/>
        <v> </v>
      </c>
      <c r="N114" s="66" t="str">
        <f t="shared" si="89"/>
        <v> </v>
      </c>
      <c r="O114" s="66" t="str">
        <f t="shared" si="90"/>
        <v> </v>
      </c>
      <c r="P114" s="66" t="str">
        <f t="shared" si="91"/>
        <v> </v>
      </c>
      <c r="Q114" s="66" t="str">
        <f t="shared" si="92"/>
        <v> </v>
      </c>
      <c r="R114" s="81" t="str">
        <f t="shared" si="93"/>
        <v> </v>
      </c>
    </row>
    <row r="115" s="2" customFormat="1" ht="12" customHeight="1" spans="1:18">
      <c r="A115" s="35"/>
      <c r="B115" s="36"/>
      <c r="C115" s="33">
        <v>4</v>
      </c>
      <c r="D115" s="32" t="s">
        <v>256</v>
      </c>
      <c r="E115" s="32">
        <v>10</v>
      </c>
      <c r="F115" s="33">
        <v>2</v>
      </c>
      <c r="G115" s="33">
        <f t="shared" si="94"/>
        <v>8</v>
      </c>
      <c r="H115" s="34">
        <v>4.38</v>
      </c>
      <c r="I115" s="66" t="str">
        <f t="shared" si="84"/>
        <v> </v>
      </c>
      <c r="J115" s="66" t="str">
        <f t="shared" si="85"/>
        <v> </v>
      </c>
      <c r="K115" s="66">
        <f t="shared" si="86"/>
        <v>21.61968</v>
      </c>
      <c r="L115" s="66" t="str">
        <f t="shared" si="87"/>
        <v> </v>
      </c>
      <c r="M115" s="66" t="str">
        <f t="shared" si="88"/>
        <v> </v>
      </c>
      <c r="N115" s="66" t="str">
        <f t="shared" si="89"/>
        <v> </v>
      </c>
      <c r="O115" s="66" t="str">
        <f t="shared" si="90"/>
        <v> </v>
      </c>
      <c r="P115" s="66" t="str">
        <f t="shared" si="91"/>
        <v> </v>
      </c>
      <c r="Q115" s="66" t="str">
        <f t="shared" si="92"/>
        <v> </v>
      </c>
      <c r="R115" s="81" t="str">
        <f t="shared" si="93"/>
        <v> </v>
      </c>
    </row>
    <row r="116" s="2" customFormat="1" ht="12" customHeight="1" spans="1:18">
      <c r="A116" s="35"/>
      <c r="B116" s="36"/>
      <c r="C116" s="33">
        <v>18</v>
      </c>
      <c r="D116" s="32" t="s">
        <v>256</v>
      </c>
      <c r="E116" s="32">
        <v>6</v>
      </c>
      <c r="F116" s="33">
        <v>2</v>
      </c>
      <c r="G116" s="33">
        <f t="shared" si="94"/>
        <v>36</v>
      </c>
      <c r="H116" s="34">
        <v>0.4</v>
      </c>
      <c r="I116" s="66">
        <f t="shared" si="84"/>
        <v>3.1968</v>
      </c>
      <c r="J116" s="66" t="str">
        <f t="shared" si="85"/>
        <v> </v>
      </c>
      <c r="K116" s="66" t="str">
        <f t="shared" si="86"/>
        <v> </v>
      </c>
      <c r="L116" s="66" t="str">
        <f t="shared" si="87"/>
        <v> </v>
      </c>
      <c r="M116" s="66" t="str">
        <f t="shared" si="88"/>
        <v> </v>
      </c>
      <c r="N116" s="66" t="str">
        <f t="shared" si="89"/>
        <v> </v>
      </c>
      <c r="O116" s="66" t="str">
        <f t="shared" si="90"/>
        <v> </v>
      </c>
      <c r="P116" s="66" t="str">
        <f t="shared" si="91"/>
        <v> </v>
      </c>
      <c r="Q116" s="66" t="str">
        <f t="shared" si="92"/>
        <v> </v>
      </c>
      <c r="R116" s="81" t="str">
        <f t="shared" si="93"/>
        <v> </v>
      </c>
    </row>
    <row r="117" s="2" customFormat="1" ht="12" customHeight="1" spans="1:18">
      <c r="A117" s="35"/>
      <c r="B117" s="36"/>
      <c r="C117" s="33"/>
      <c r="D117" s="32"/>
      <c r="E117" s="32"/>
      <c r="F117" s="33"/>
      <c r="G117" s="33"/>
      <c r="H117" s="34"/>
      <c r="I117" s="66" t="str">
        <f t="shared" si="84"/>
        <v> </v>
      </c>
      <c r="J117" s="66" t="str">
        <f t="shared" si="85"/>
        <v> </v>
      </c>
      <c r="K117" s="66" t="str">
        <f t="shared" si="86"/>
        <v> </v>
      </c>
      <c r="L117" s="66" t="str">
        <f t="shared" si="87"/>
        <v> </v>
      </c>
      <c r="M117" s="66" t="str">
        <f t="shared" si="88"/>
        <v> </v>
      </c>
      <c r="N117" s="66" t="str">
        <f t="shared" si="89"/>
        <v> </v>
      </c>
      <c r="O117" s="66" t="str">
        <f t="shared" si="90"/>
        <v> </v>
      </c>
      <c r="P117" s="66" t="str">
        <f t="shared" si="91"/>
        <v> </v>
      </c>
      <c r="Q117" s="66" t="str">
        <f t="shared" si="92"/>
        <v> </v>
      </c>
      <c r="R117" s="81" t="str">
        <f t="shared" si="93"/>
        <v> </v>
      </c>
    </row>
    <row r="118" s="2" customFormat="1" ht="12" customHeight="1" spans="1:18">
      <c r="A118" s="37"/>
      <c r="B118" s="38"/>
      <c r="C118" s="38"/>
      <c r="D118" s="39"/>
      <c r="E118" s="39"/>
      <c r="F118" s="38"/>
      <c r="G118" s="38"/>
      <c r="H118" s="40"/>
      <c r="I118" s="66" t="str">
        <f t="shared" si="84"/>
        <v> </v>
      </c>
      <c r="J118" s="66" t="str">
        <f t="shared" si="85"/>
        <v> </v>
      </c>
      <c r="K118" s="66" t="str">
        <f t="shared" si="86"/>
        <v> </v>
      </c>
      <c r="L118" s="66" t="str">
        <f t="shared" si="87"/>
        <v> </v>
      </c>
      <c r="M118" s="66" t="str">
        <f t="shared" si="88"/>
        <v> </v>
      </c>
      <c r="N118" s="66" t="str">
        <f t="shared" si="89"/>
        <v> </v>
      </c>
      <c r="O118" s="66" t="str">
        <f t="shared" si="90"/>
        <v> </v>
      </c>
      <c r="P118" s="66" t="str">
        <f t="shared" si="91"/>
        <v> </v>
      </c>
      <c r="Q118" s="66" t="str">
        <f t="shared" si="92"/>
        <v> </v>
      </c>
      <c r="R118" s="81" t="str">
        <f t="shared" si="93"/>
        <v> </v>
      </c>
    </row>
    <row r="119" ht="17.25" customHeight="1" spans="1:21">
      <c r="A119" s="41" t="s">
        <v>259</v>
      </c>
      <c r="B119" s="42"/>
      <c r="C119" s="42"/>
      <c r="D119" s="42"/>
      <c r="E119" s="42"/>
      <c r="F119" s="42"/>
      <c r="G119" s="42"/>
      <c r="H119" s="43"/>
      <c r="I119" s="67">
        <v>0.222</v>
      </c>
      <c r="J119" s="68">
        <v>0.397</v>
      </c>
      <c r="K119" s="69">
        <v>0.617</v>
      </c>
      <c r="L119" s="69">
        <v>0.888</v>
      </c>
      <c r="M119" s="69">
        <v>1.208</v>
      </c>
      <c r="N119" s="68">
        <v>1.576</v>
      </c>
      <c r="O119" s="68">
        <v>2.47</v>
      </c>
      <c r="P119" s="69">
        <v>3.854</v>
      </c>
      <c r="Q119" s="69">
        <v>6.313</v>
      </c>
      <c r="R119" s="82">
        <v>9.866</v>
      </c>
      <c r="T119" s="83"/>
      <c r="U119" s="83"/>
    </row>
    <row r="120" ht="15" customHeight="1" spans="1:21">
      <c r="A120" s="44" t="s">
        <v>260</v>
      </c>
      <c r="B120" s="45"/>
      <c r="C120" s="45"/>
      <c r="D120" s="45"/>
      <c r="E120" s="45"/>
      <c r="F120" s="45"/>
      <c r="G120" s="45"/>
      <c r="H120" s="46"/>
      <c r="I120" s="70">
        <f>SUM(I108:I118)</f>
        <v>57.02736</v>
      </c>
      <c r="J120" s="70">
        <f t="shared" ref="J120:R120" si="95">SUM(J108:J118)</f>
        <v>10.3806</v>
      </c>
      <c r="K120" s="70">
        <f t="shared" si="95"/>
        <v>21.61968</v>
      </c>
      <c r="L120" s="70">
        <f t="shared" si="95"/>
        <v>0</v>
      </c>
      <c r="M120" s="70">
        <f t="shared" si="95"/>
        <v>0</v>
      </c>
      <c r="N120" s="70">
        <f t="shared" si="95"/>
        <v>0</v>
      </c>
      <c r="O120" s="70">
        <f t="shared" si="95"/>
        <v>64.95444</v>
      </c>
      <c r="P120" s="70">
        <f t="shared" si="95"/>
        <v>0</v>
      </c>
      <c r="Q120" s="70">
        <f t="shared" si="95"/>
        <v>0</v>
      </c>
      <c r="R120" s="84">
        <f t="shared" si="95"/>
        <v>0</v>
      </c>
      <c r="T120" s="83"/>
      <c r="U120" s="83"/>
    </row>
    <row r="121" s="3" customFormat="1" ht="16.5" customHeight="1" spans="1:21">
      <c r="A121" s="47" t="s">
        <v>261</v>
      </c>
      <c r="B121" s="48"/>
      <c r="C121" s="48"/>
      <c r="D121" s="48"/>
      <c r="E121" s="48"/>
      <c r="F121" s="48"/>
      <c r="G121" s="48"/>
      <c r="H121" s="49"/>
      <c r="I121" s="71"/>
      <c r="J121" s="72"/>
      <c r="K121" s="72"/>
      <c r="L121" s="72"/>
      <c r="M121" s="72"/>
      <c r="N121" s="72"/>
      <c r="O121" s="72"/>
      <c r="P121" s="71"/>
      <c r="Q121" s="71"/>
      <c r="R121" s="85">
        <f>(SUM(I120:R120))</f>
        <v>153.98208</v>
      </c>
      <c r="T121" s="86"/>
      <c r="U121" s="86"/>
    </row>
    <row r="122" ht="15.15" spans="1:18">
      <c r="A122" s="50"/>
      <c r="B122" s="51"/>
      <c r="C122" s="52"/>
      <c r="D122" s="53"/>
      <c r="E122" s="53"/>
      <c r="F122" s="53"/>
      <c r="G122" s="52"/>
      <c r="H122" s="54"/>
      <c r="I122" s="75"/>
      <c r="J122" s="75"/>
      <c r="K122" s="75"/>
      <c r="L122" s="75"/>
      <c r="M122" s="75"/>
      <c r="N122" s="75"/>
      <c r="O122" s="75"/>
      <c r="P122" s="75"/>
      <c r="Q122" s="88"/>
      <c r="R122" s="89"/>
    </row>
    <row r="123" s="1" customFormat="1" ht="21" customHeight="1" spans="1:18">
      <c r="A123" s="16" t="s">
        <v>235</v>
      </c>
      <c r="B123" s="17" t="s">
        <v>236</v>
      </c>
      <c r="C123" s="18" t="s">
        <v>237</v>
      </c>
      <c r="D123" s="17" t="s">
        <v>238</v>
      </c>
      <c r="E123" s="17"/>
      <c r="F123" s="17" t="s">
        <v>239</v>
      </c>
      <c r="G123" s="19" t="s">
        <v>240</v>
      </c>
      <c r="H123" s="20" t="s">
        <v>241</v>
      </c>
      <c r="I123" s="63" t="s">
        <v>242</v>
      </c>
      <c r="J123" s="64"/>
      <c r="K123" s="64"/>
      <c r="L123" s="64"/>
      <c r="M123" s="64"/>
      <c r="N123" s="64"/>
      <c r="O123" s="64"/>
      <c r="P123" s="64"/>
      <c r="Q123" s="64"/>
      <c r="R123" s="79"/>
    </row>
    <row r="124" s="1" customFormat="1" ht="15.75" customHeight="1" spans="1:18">
      <c r="A124" s="21"/>
      <c r="B124" s="22"/>
      <c r="C124" s="23"/>
      <c r="D124" s="22"/>
      <c r="E124" s="22"/>
      <c r="F124" s="22"/>
      <c r="G124" s="24"/>
      <c r="H124" s="25"/>
      <c r="I124" s="65" t="s">
        <v>243</v>
      </c>
      <c r="J124" s="65" t="s">
        <v>244</v>
      </c>
      <c r="K124" s="65" t="s">
        <v>245</v>
      </c>
      <c r="L124" s="65" t="s">
        <v>246</v>
      </c>
      <c r="M124" s="65" t="s">
        <v>247</v>
      </c>
      <c r="N124" s="65" t="s">
        <v>248</v>
      </c>
      <c r="O124" s="65" t="s">
        <v>249</v>
      </c>
      <c r="P124" s="65" t="s">
        <v>250</v>
      </c>
      <c r="Q124" s="65" t="s">
        <v>251</v>
      </c>
      <c r="R124" s="80" t="s">
        <v>252</v>
      </c>
    </row>
    <row r="125" s="2" customFormat="1" ht="14.25" customHeight="1" spans="1:18">
      <c r="A125" s="26" t="s">
        <v>253</v>
      </c>
      <c r="B125" s="27"/>
      <c r="C125" s="27"/>
      <c r="D125" s="27"/>
      <c r="E125" s="27"/>
      <c r="F125" s="27"/>
      <c r="G125" s="27"/>
      <c r="H125" s="28"/>
      <c r="I125" s="66" t="str">
        <f>IF(E125=6,(G125*H125*0.222)," ")</f>
        <v> </v>
      </c>
      <c r="J125" s="66" t="str">
        <f>IF(E125=8,(H125*G125*0.395)," ")</f>
        <v> </v>
      </c>
      <c r="K125" s="66" t="str">
        <f>IF(E125=10,(G125*H125*0.617)," ")</f>
        <v> </v>
      </c>
      <c r="L125" s="66" t="str">
        <f>IF(E125=12,(H125*G125*0.888)," ")</f>
        <v> </v>
      </c>
      <c r="M125" s="66" t="str">
        <f>IF(E125=14,(H125*G125*1.208)," ")</f>
        <v> </v>
      </c>
      <c r="N125" s="66" t="str">
        <f>IF(E125=16,(H125*G125*1.578)," ")</f>
        <v> </v>
      </c>
      <c r="O125" s="66" t="str">
        <f>IF(E125=20,(H125*G125*2.466)," ")</f>
        <v> </v>
      </c>
      <c r="P125" s="66" t="str">
        <f>IF(E125=25,(H125*G125*3.854)," ")</f>
        <v> </v>
      </c>
      <c r="Q125" s="66" t="str">
        <f>IF(E125=32,(H125*G125*6.314)," ")</f>
        <v> </v>
      </c>
      <c r="R125" s="81" t="str">
        <f>IF(E125=40,(H125*G125*9.866)," ")</f>
        <v> </v>
      </c>
    </row>
    <row r="126" s="2" customFormat="1" ht="12" customHeight="1" spans="1:18">
      <c r="A126" s="29" t="s">
        <v>317</v>
      </c>
      <c r="B126" s="30"/>
      <c r="C126" s="31"/>
      <c r="D126" s="32"/>
      <c r="E126" s="32"/>
      <c r="F126" s="33"/>
      <c r="G126" s="33"/>
      <c r="H126" s="34"/>
      <c r="I126" s="66" t="str">
        <f t="shared" ref="I126:I135" si="96">IF(E126=6,(G126*H126*0.222)," ")</f>
        <v> </v>
      </c>
      <c r="J126" s="66" t="str">
        <f t="shared" ref="J126:J135" si="97">IF(E126=8,(H126*G126*0.395)," ")</f>
        <v> </v>
      </c>
      <c r="K126" s="66" t="str">
        <f t="shared" ref="K126:K135" si="98">IF(E126=10,(G126*H126*0.617)," ")</f>
        <v> </v>
      </c>
      <c r="L126" s="66" t="str">
        <f t="shared" ref="L126:L135" si="99">IF(E126=12,(H126*G126*0.888)," ")</f>
        <v> </v>
      </c>
      <c r="M126" s="66" t="str">
        <f t="shared" ref="M126:M135" si="100">IF(E126=14,(H126*G126*1.208)," ")</f>
        <v> </v>
      </c>
      <c r="N126" s="66" t="str">
        <f t="shared" ref="N126:N135" si="101">IF(E126=16,(H126*G126*1.578)," ")</f>
        <v> </v>
      </c>
      <c r="O126" s="66" t="str">
        <f t="shared" ref="O126:O135" si="102">IF(E126=20,(H126*G126*2.466)," ")</f>
        <v> </v>
      </c>
      <c r="P126" s="66" t="str">
        <f t="shared" ref="P126:P135" si="103">IF(E126=25,(H126*G126*3.854)," ")</f>
        <v> </v>
      </c>
      <c r="Q126" s="66" t="str">
        <f t="shared" ref="Q126:Q135" si="104">IF(E126=32,(H126*G126*6.314)," ")</f>
        <v> </v>
      </c>
      <c r="R126" s="81" t="str">
        <f t="shared" ref="R126:R135" si="105">IF(E126=40,(H126*G126*9.866)," ")</f>
        <v> </v>
      </c>
    </row>
    <row r="127" s="2" customFormat="1" ht="12" customHeight="1" spans="1:18">
      <c r="A127" s="35"/>
      <c r="B127" s="36"/>
      <c r="C127" s="33">
        <v>18</v>
      </c>
      <c r="D127" s="32" t="s">
        <v>256</v>
      </c>
      <c r="E127" s="32">
        <v>6</v>
      </c>
      <c r="F127" s="33">
        <v>2</v>
      </c>
      <c r="G127" s="33">
        <f t="shared" ref="G127:G133" si="106">F127*C127</f>
        <v>36</v>
      </c>
      <c r="H127" s="91">
        <v>0.84</v>
      </c>
      <c r="I127" s="66">
        <f t="shared" si="96"/>
        <v>6.71328</v>
      </c>
      <c r="J127" s="66" t="str">
        <f t="shared" si="97"/>
        <v> </v>
      </c>
      <c r="K127" s="66" t="str">
        <f t="shared" si="98"/>
        <v> </v>
      </c>
      <c r="L127" s="66" t="str">
        <f t="shared" si="99"/>
        <v> </v>
      </c>
      <c r="M127" s="66" t="str">
        <f t="shared" si="100"/>
        <v> </v>
      </c>
      <c r="N127" s="66" t="str">
        <f t="shared" si="101"/>
        <v> </v>
      </c>
      <c r="O127" s="66" t="str">
        <f t="shared" si="102"/>
        <v> </v>
      </c>
      <c r="P127" s="66" t="str">
        <f t="shared" si="103"/>
        <v> </v>
      </c>
      <c r="Q127" s="66" t="str">
        <f t="shared" si="104"/>
        <v> </v>
      </c>
      <c r="R127" s="81" t="str">
        <f t="shared" si="105"/>
        <v> </v>
      </c>
    </row>
    <row r="128" s="2" customFormat="1" ht="12" customHeight="1" spans="1:18">
      <c r="A128" s="35"/>
      <c r="B128" s="33"/>
      <c r="C128" s="33">
        <v>3</v>
      </c>
      <c r="D128" s="32" t="s">
        <v>256</v>
      </c>
      <c r="E128" s="32">
        <v>16</v>
      </c>
      <c r="F128" s="33">
        <v>2</v>
      </c>
      <c r="G128" s="33">
        <f t="shared" si="106"/>
        <v>6</v>
      </c>
      <c r="H128" s="34">
        <v>3.24</v>
      </c>
      <c r="I128" s="66" t="str">
        <f t="shared" si="96"/>
        <v> </v>
      </c>
      <c r="J128" s="66" t="str">
        <f t="shared" si="97"/>
        <v> </v>
      </c>
      <c r="K128" s="66" t="str">
        <f t="shared" si="98"/>
        <v> </v>
      </c>
      <c r="L128" s="66" t="str">
        <f t="shared" si="99"/>
        <v> </v>
      </c>
      <c r="M128" s="66" t="str">
        <f t="shared" si="100"/>
        <v> </v>
      </c>
      <c r="N128" s="66">
        <f t="shared" si="101"/>
        <v>30.67632</v>
      </c>
      <c r="O128" s="66" t="str">
        <f t="shared" si="102"/>
        <v> </v>
      </c>
      <c r="P128" s="66" t="str">
        <f t="shared" si="103"/>
        <v> </v>
      </c>
      <c r="Q128" s="66" t="str">
        <f t="shared" si="104"/>
        <v> </v>
      </c>
      <c r="R128" s="81" t="str">
        <f t="shared" si="105"/>
        <v> </v>
      </c>
    </row>
    <row r="129" s="2" customFormat="1" ht="12" customHeight="1" spans="1:18">
      <c r="A129" s="35"/>
      <c r="B129" s="36"/>
      <c r="C129" s="33">
        <v>16</v>
      </c>
      <c r="D129" s="32" t="s">
        <v>256</v>
      </c>
      <c r="E129" s="32">
        <v>6</v>
      </c>
      <c r="F129" s="33">
        <v>2</v>
      </c>
      <c r="G129" s="33">
        <f t="shared" si="106"/>
        <v>32</v>
      </c>
      <c r="H129" s="34">
        <v>1.95</v>
      </c>
      <c r="I129" s="66">
        <f t="shared" si="96"/>
        <v>13.8528</v>
      </c>
      <c r="J129" s="66" t="str">
        <f t="shared" si="97"/>
        <v> </v>
      </c>
      <c r="K129" s="66" t="str">
        <f t="shared" si="98"/>
        <v> </v>
      </c>
      <c r="L129" s="66" t="str">
        <f t="shared" si="99"/>
        <v> </v>
      </c>
      <c r="M129" s="66" t="str">
        <f t="shared" si="100"/>
        <v> </v>
      </c>
      <c r="N129" s="66" t="str">
        <f t="shared" si="101"/>
        <v> </v>
      </c>
      <c r="O129" s="66" t="str">
        <f t="shared" si="102"/>
        <v> </v>
      </c>
      <c r="P129" s="66" t="str">
        <f t="shared" si="103"/>
        <v> </v>
      </c>
      <c r="Q129" s="66" t="str">
        <f t="shared" si="104"/>
        <v> </v>
      </c>
      <c r="R129" s="81" t="str">
        <f t="shared" si="105"/>
        <v> </v>
      </c>
    </row>
    <row r="130" s="2" customFormat="1" ht="12" customHeight="1" spans="1:18">
      <c r="A130" s="35"/>
      <c r="B130" s="36"/>
      <c r="C130" s="33">
        <v>6</v>
      </c>
      <c r="D130" s="32" t="s">
        <v>256</v>
      </c>
      <c r="E130" s="32">
        <v>20</v>
      </c>
      <c r="F130" s="33">
        <v>2</v>
      </c>
      <c r="G130" s="33">
        <f t="shared" si="106"/>
        <v>12</v>
      </c>
      <c r="H130" s="34">
        <v>6.69</v>
      </c>
      <c r="I130" s="66" t="str">
        <f t="shared" si="96"/>
        <v> </v>
      </c>
      <c r="J130" s="66" t="str">
        <f t="shared" si="97"/>
        <v> </v>
      </c>
      <c r="K130" s="66" t="str">
        <f t="shared" si="98"/>
        <v> </v>
      </c>
      <c r="L130" s="66" t="str">
        <f t="shared" si="99"/>
        <v> </v>
      </c>
      <c r="M130" s="66" t="str">
        <f t="shared" si="100"/>
        <v> </v>
      </c>
      <c r="N130" s="66" t="str">
        <f t="shared" si="101"/>
        <v> </v>
      </c>
      <c r="O130" s="66">
        <f t="shared" si="102"/>
        <v>197.97048</v>
      </c>
      <c r="P130" s="66" t="str">
        <f t="shared" si="103"/>
        <v> </v>
      </c>
      <c r="Q130" s="66" t="str">
        <f t="shared" si="104"/>
        <v> </v>
      </c>
      <c r="R130" s="81" t="str">
        <f t="shared" si="105"/>
        <v> </v>
      </c>
    </row>
    <row r="131" s="2" customFormat="1" ht="12" customHeight="1" spans="1:18">
      <c r="A131" s="35"/>
      <c r="B131" s="33"/>
      <c r="C131" s="33">
        <v>2</v>
      </c>
      <c r="D131" s="32" t="s">
        <v>256</v>
      </c>
      <c r="E131" s="32">
        <v>6</v>
      </c>
      <c r="F131" s="33">
        <v>2</v>
      </c>
      <c r="G131" s="33">
        <f t="shared" si="106"/>
        <v>4</v>
      </c>
      <c r="H131" s="34">
        <v>1.94</v>
      </c>
      <c r="I131" s="66">
        <f t="shared" si="96"/>
        <v>1.72272</v>
      </c>
      <c r="J131" s="66" t="str">
        <f t="shared" si="97"/>
        <v> </v>
      </c>
      <c r="K131" s="66" t="str">
        <f t="shared" si="98"/>
        <v> </v>
      </c>
      <c r="L131" s="66" t="str">
        <f t="shared" si="99"/>
        <v> </v>
      </c>
      <c r="M131" s="66" t="str">
        <f t="shared" si="100"/>
        <v> </v>
      </c>
      <c r="N131" s="66" t="str">
        <f t="shared" si="101"/>
        <v> </v>
      </c>
      <c r="O131" s="66" t="str">
        <f t="shared" si="102"/>
        <v> </v>
      </c>
      <c r="P131" s="66" t="str">
        <f t="shared" si="103"/>
        <v> </v>
      </c>
      <c r="Q131" s="66" t="str">
        <f t="shared" si="104"/>
        <v> </v>
      </c>
      <c r="R131" s="81" t="str">
        <f t="shared" si="105"/>
        <v> </v>
      </c>
    </row>
    <row r="132" s="2" customFormat="1" ht="12" customHeight="1" spans="1:18">
      <c r="A132" s="35"/>
      <c r="B132" s="36"/>
      <c r="C132" s="33">
        <v>4</v>
      </c>
      <c r="D132" s="32" t="s">
        <v>256</v>
      </c>
      <c r="E132" s="32">
        <v>10</v>
      </c>
      <c r="F132" s="33">
        <v>2</v>
      </c>
      <c r="G132" s="33">
        <f t="shared" si="106"/>
        <v>8</v>
      </c>
      <c r="H132" s="34">
        <v>3.25</v>
      </c>
      <c r="I132" s="66" t="str">
        <f t="shared" si="96"/>
        <v> </v>
      </c>
      <c r="J132" s="66" t="str">
        <f t="shared" si="97"/>
        <v> </v>
      </c>
      <c r="K132" s="66">
        <f t="shared" si="98"/>
        <v>16.042</v>
      </c>
      <c r="L132" s="66" t="str">
        <f t="shared" si="99"/>
        <v> </v>
      </c>
      <c r="M132" s="66" t="str">
        <f t="shared" si="100"/>
        <v> </v>
      </c>
      <c r="N132" s="66" t="str">
        <f t="shared" si="101"/>
        <v> </v>
      </c>
      <c r="O132" s="66" t="str">
        <f t="shared" si="102"/>
        <v> </v>
      </c>
      <c r="P132" s="66" t="str">
        <f t="shared" si="103"/>
        <v> </v>
      </c>
      <c r="Q132" s="66" t="str">
        <f t="shared" si="104"/>
        <v> </v>
      </c>
      <c r="R132" s="81" t="str">
        <f t="shared" si="105"/>
        <v> </v>
      </c>
    </row>
    <row r="133" s="2" customFormat="1" ht="12" customHeight="1" spans="1:18">
      <c r="A133" s="35"/>
      <c r="B133" s="36"/>
      <c r="C133" s="33">
        <v>14</v>
      </c>
      <c r="D133" s="32" t="s">
        <v>256</v>
      </c>
      <c r="E133" s="32">
        <v>6</v>
      </c>
      <c r="F133" s="33">
        <v>2</v>
      </c>
      <c r="G133" s="33">
        <f t="shared" si="106"/>
        <v>28</v>
      </c>
      <c r="H133" s="34">
        <v>0.4</v>
      </c>
      <c r="I133" s="66">
        <f t="shared" si="96"/>
        <v>2.4864</v>
      </c>
      <c r="J133" s="66" t="str">
        <f t="shared" si="97"/>
        <v> </v>
      </c>
      <c r="K133" s="66" t="str">
        <f t="shared" si="98"/>
        <v> </v>
      </c>
      <c r="L133" s="66" t="str">
        <f t="shared" si="99"/>
        <v> </v>
      </c>
      <c r="M133" s="66" t="str">
        <f t="shared" si="100"/>
        <v> </v>
      </c>
      <c r="N133" s="66" t="str">
        <f t="shared" si="101"/>
        <v> </v>
      </c>
      <c r="O133" s="66" t="str">
        <f t="shared" si="102"/>
        <v> </v>
      </c>
      <c r="P133" s="66" t="str">
        <f t="shared" si="103"/>
        <v> </v>
      </c>
      <c r="Q133" s="66" t="str">
        <f t="shared" si="104"/>
        <v> </v>
      </c>
      <c r="R133" s="81" t="str">
        <f t="shared" si="105"/>
        <v> </v>
      </c>
    </row>
    <row r="134" s="2" customFormat="1" ht="12" customHeight="1" spans="1:18">
      <c r="A134" s="35"/>
      <c r="B134" s="36"/>
      <c r="C134" s="33"/>
      <c r="D134" s="32"/>
      <c r="E134" s="32"/>
      <c r="F134" s="33"/>
      <c r="G134" s="33"/>
      <c r="H134" s="34"/>
      <c r="I134" s="66" t="str">
        <f t="shared" si="96"/>
        <v> </v>
      </c>
      <c r="J134" s="66" t="str">
        <f t="shared" si="97"/>
        <v> </v>
      </c>
      <c r="K134" s="66" t="str">
        <f t="shared" si="98"/>
        <v> </v>
      </c>
      <c r="L134" s="66" t="str">
        <f t="shared" si="99"/>
        <v> </v>
      </c>
      <c r="M134" s="66" t="str">
        <f t="shared" si="100"/>
        <v> </v>
      </c>
      <c r="N134" s="66" t="str">
        <f t="shared" si="101"/>
        <v> </v>
      </c>
      <c r="O134" s="66" t="str">
        <f t="shared" si="102"/>
        <v> </v>
      </c>
      <c r="P134" s="66" t="str">
        <f t="shared" si="103"/>
        <v> </v>
      </c>
      <c r="Q134" s="66" t="str">
        <f t="shared" si="104"/>
        <v> </v>
      </c>
      <c r="R134" s="81" t="str">
        <f t="shared" si="105"/>
        <v> </v>
      </c>
    </row>
    <row r="135" s="2" customFormat="1" ht="12" customHeight="1" spans="1:18">
      <c r="A135" s="37"/>
      <c r="B135" s="38"/>
      <c r="C135" s="38"/>
      <c r="D135" s="39"/>
      <c r="E135" s="39"/>
      <c r="F135" s="38"/>
      <c r="G135" s="38"/>
      <c r="H135" s="40"/>
      <c r="I135" s="66" t="str">
        <f t="shared" si="96"/>
        <v> </v>
      </c>
      <c r="J135" s="66" t="str">
        <f t="shared" si="97"/>
        <v> </v>
      </c>
      <c r="K135" s="66" t="str">
        <f t="shared" si="98"/>
        <v> </v>
      </c>
      <c r="L135" s="66" t="str">
        <f t="shared" si="99"/>
        <v> </v>
      </c>
      <c r="M135" s="66" t="str">
        <f t="shared" si="100"/>
        <v> </v>
      </c>
      <c r="N135" s="66" t="str">
        <f t="shared" si="101"/>
        <v> </v>
      </c>
      <c r="O135" s="66" t="str">
        <f t="shared" si="102"/>
        <v> </v>
      </c>
      <c r="P135" s="66" t="str">
        <f t="shared" si="103"/>
        <v> </v>
      </c>
      <c r="Q135" s="66" t="str">
        <f t="shared" si="104"/>
        <v> </v>
      </c>
      <c r="R135" s="81" t="str">
        <f t="shared" si="105"/>
        <v> </v>
      </c>
    </row>
    <row r="136" ht="17.25" customHeight="1" spans="1:21">
      <c r="A136" s="41" t="s">
        <v>259</v>
      </c>
      <c r="B136" s="42"/>
      <c r="C136" s="42"/>
      <c r="D136" s="42"/>
      <c r="E136" s="42"/>
      <c r="F136" s="42"/>
      <c r="G136" s="42"/>
      <c r="H136" s="43"/>
      <c r="I136" s="67">
        <v>0.222</v>
      </c>
      <c r="J136" s="68">
        <v>0.397</v>
      </c>
      <c r="K136" s="69">
        <v>0.617</v>
      </c>
      <c r="L136" s="69">
        <v>0.888</v>
      </c>
      <c r="M136" s="69">
        <v>1.208</v>
      </c>
      <c r="N136" s="68">
        <v>1.576</v>
      </c>
      <c r="O136" s="68">
        <v>2.47</v>
      </c>
      <c r="P136" s="69">
        <v>3.854</v>
      </c>
      <c r="Q136" s="69">
        <v>6.313</v>
      </c>
      <c r="R136" s="82">
        <v>9.866</v>
      </c>
      <c r="T136" s="83"/>
      <c r="U136" s="83"/>
    </row>
    <row r="137" ht="15" customHeight="1" spans="1:21">
      <c r="A137" s="44" t="s">
        <v>260</v>
      </c>
      <c r="B137" s="45"/>
      <c r="C137" s="45"/>
      <c r="D137" s="45"/>
      <c r="E137" s="45"/>
      <c r="F137" s="45"/>
      <c r="G137" s="45"/>
      <c r="H137" s="46"/>
      <c r="I137" s="70">
        <f>SUM(I125:I135)</f>
        <v>24.7752</v>
      </c>
      <c r="J137" s="70">
        <f t="shared" ref="J137:R137" si="107">SUM(J125:J135)</f>
        <v>0</v>
      </c>
      <c r="K137" s="70">
        <f t="shared" si="107"/>
        <v>16.042</v>
      </c>
      <c r="L137" s="70">
        <f t="shared" si="107"/>
        <v>0</v>
      </c>
      <c r="M137" s="70">
        <f t="shared" si="107"/>
        <v>0</v>
      </c>
      <c r="N137" s="70">
        <f t="shared" si="107"/>
        <v>30.67632</v>
      </c>
      <c r="O137" s="70">
        <f t="shared" si="107"/>
        <v>197.97048</v>
      </c>
      <c r="P137" s="70">
        <f t="shared" si="107"/>
        <v>0</v>
      </c>
      <c r="Q137" s="70">
        <f t="shared" si="107"/>
        <v>0</v>
      </c>
      <c r="R137" s="84">
        <f t="shared" si="107"/>
        <v>0</v>
      </c>
      <c r="T137" s="83"/>
      <c r="U137" s="83"/>
    </row>
    <row r="138" s="3" customFormat="1" ht="16.5" customHeight="1" spans="1:21">
      <c r="A138" s="47" t="s">
        <v>261</v>
      </c>
      <c r="B138" s="48"/>
      <c r="C138" s="48"/>
      <c r="D138" s="48"/>
      <c r="E138" s="48"/>
      <c r="F138" s="48"/>
      <c r="G138" s="48"/>
      <c r="H138" s="49"/>
      <c r="I138" s="92"/>
      <c r="J138" s="93"/>
      <c r="K138" s="93"/>
      <c r="L138" s="93"/>
      <c r="M138" s="93"/>
      <c r="N138" s="93"/>
      <c r="O138" s="93"/>
      <c r="P138" s="92"/>
      <c r="Q138" s="92"/>
      <c r="R138" s="97">
        <f>(SUM(I137:R137))</f>
        <v>269.464</v>
      </c>
      <c r="T138" s="86"/>
      <c r="U138" s="86"/>
    </row>
    <row r="139" s="3" customFormat="1" ht="16.5" customHeight="1" spans="1:21">
      <c r="A139" s="47" t="s">
        <v>261</v>
      </c>
      <c r="B139" s="48"/>
      <c r="C139" s="48"/>
      <c r="D139" s="48"/>
      <c r="E139" s="48"/>
      <c r="F139" s="48"/>
      <c r="G139" s="48"/>
      <c r="H139" s="49"/>
      <c r="I139" s="94"/>
      <c r="J139" s="95"/>
      <c r="K139" s="95"/>
      <c r="L139" s="95"/>
      <c r="M139" s="95"/>
      <c r="N139" s="95"/>
      <c r="O139" s="95"/>
      <c r="P139" s="96"/>
      <c r="Q139" s="96"/>
      <c r="R139" s="85">
        <f>+R138+R121+R104+R86+R73+R60+R45+R30+R15</f>
        <v>1473.30936</v>
      </c>
      <c r="T139" s="86"/>
      <c r="U139" s="86"/>
    </row>
  </sheetData>
  <mergeCells count="101">
    <mergeCell ref="L2:M2"/>
    <mergeCell ref="I3:R3"/>
    <mergeCell ref="A13:H13"/>
    <mergeCell ref="A14:H14"/>
    <mergeCell ref="A15:H15"/>
    <mergeCell ref="I18:R18"/>
    <mergeCell ref="A28:H28"/>
    <mergeCell ref="A29:H29"/>
    <mergeCell ref="A30:H30"/>
    <mergeCell ref="I32:R32"/>
    <mergeCell ref="A43:H43"/>
    <mergeCell ref="A44:H44"/>
    <mergeCell ref="A45:H45"/>
    <mergeCell ref="I47:R47"/>
    <mergeCell ref="A58:H58"/>
    <mergeCell ref="A59:H59"/>
    <mergeCell ref="A60:H60"/>
    <mergeCell ref="I62:R62"/>
    <mergeCell ref="A71:H71"/>
    <mergeCell ref="A72:H72"/>
    <mergeCell ref="A73:H73"/>
    <mergeCell ref="I75:R75"/>
    <mergeCell ref="A84:H84"/>
    <mergeCell ref="A85:H85"/>
    <mergeCell ref="A86:H86"/>
    <mergeCell ref="I88:R88"/>
    <mergeCell ref="A102:H102"/>
    <mergeCell ref="A103:H103"/>
    <mergeCell ref="A104:H104"/>
    <mergeCell ref="I106:R106"/>
    <mergeCell ref="A119:H119"/>
    <mergeCell ref="A120:H120"/>
    <mergeCell ref="A121:H121"/>
    <mergeCell ref="I123:R123"/>
    <mergeCell ref="A136:H136"/>
    <mergeCell ref="A137:H137"/>
    <mergeCell ref="A138:H138"/>
    <mergeCell ref="A139:H139"/>
    <mergeCell ref="A3:A4"/>
    <mergeCell ref="A18:A19"/>
    <mergeCell ref="A32:A33"/>
    <mergeCell ref="A47:A48"/>
    <mergeCell ref="A62:A63"/>
    <mergeCell ref="A75:A76"/>
    <mergeCell ref="A88:A89"/>
    <mergeCell ref="A106:A107"/>
    <mergeCell ref="A123:A124"/>
    <mergeCell ref="B3:B4"/>
    <mergeCell ref="B18:B19"/>
    <mergeCell ref="B32:B33"/>
    <mergeCell ref="B47:B48"/>
    <mergeCell ref="B62:B63"/>
    <mergeCell ref="B75:B76"/>
    <mergeCell ref="B88:B89"/>
    <mergeCell ref="B106:B107"/>
    <mergeCell ref="B123:B124"/>
    <mergeCell ref="C3:C4"/>
    <mergeCell ref="C18:C19"/>
    <mergeCell ref="C32:C33"/>
    <mergeCell ref="C47:C48"/>
    <mergeCell ref="C62:C63"/>
    <mergeCell ref="C75:C76"/>
    <mergeCell ref="C88:C89"/>
    <mergeCell ref="C106:C107"/>
    <mergeCell ref="C123:C124"/>
    <mergeCell ref="F3:F4"/>
    <mergeCell ref="F18:F19"/>
    <mergeCell ref="F32:F33"/>
    <mergeCell ref="F47:F48"/>
    <mergeCell ref="F62:F63"/>
    <mergeCell ref="F75:F76"/>
    <mergeCell ref="F88:F89"/>
    <mergeCell ref="F106:F107"/>
    <mergeCell ref="F123:F124"/>
    <mergeCell ref="G3:G4"/>
    <mergeCell ref="G18:G19"/>
    <mergeCell ref="G32:G33"/>
    <mergeCell ref="G47:G48"/>
    <mergeCell ref="G62:G63"/>
    <mergeCell ref="G75:G76"/>
    <mergeCell ref="G88:G89"/>
    <mergeCell ref="G106:G107"/>
    <mergeCell ref="G123:G124"/>
    <mergeCell ref="H3:H4"/>
    <mergeCell ref="H18:H19"/>
    <mergeCell ref="H32:H33"/>
    <mergeCell ref="H47:H48"/>
    <mergeCell ref="H62:H63"/>
    <mergeCell ref="H75:H76"/>
    <mergeCell ref="H88:H89"/>
    <mergeCell ref="H106:H107"/>
    <mergeCell ref="H123:H124"/>
    <mergeCell ref="D3:E4"/>
    <mergeCell ref="D18:E19"/>
    <mergeCell ref="D32:E33"/>
    <mergeCell ref="D47:E48"/>
    <mergeCell ref="D62:E63"/>
    <mergeCell ref="D75:E76"/>
    <mergeCell ref="D106:E107"/>
    <mergeCell ref="D88:E89"/>
    <mergeCell ref="D123:E124"/>
  </mergeCells>
  <printOptions horizontalCentered="1"/>
  <pageMargins left="0.118110236220472" right="0.118110236220472" top="0.551181102362205" bottom="0.551181102362205" header="0.31496062992126" footer="0.31496062992126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M79"/>
  <sheetViews>
    <sheetView showGridLines="0" view="pageBreakPreview" zoomScale="75" zoomScaleNormal="100" workbookViewId="0">
      <pane ySplit="6" topLeftCell="A53" activePane="bottomLeft" state="frozen"/>
      <selection/>
      <selection pane="bottomLeft" activeCell="K22" sqref="K22"/>
    </sheetView>
  </sheetViews>
  <sheetFormatPr defaultColWidth="11" defaultRowHeight="14.4"/>
  <cols>
    <col min="1" max="1" width="7.71296296296296" style="272" customWidth="1"/>
    <col min="2" max="2" width="56.4259259259259" customWidth="1"/>
    <col min="3" max="3" width="10.5740740740741" customWidth="1"/>
    <col min="4" max="4" width="13.712962962963" style="273" customWidth="1"/>
    <col min="5" max="5" width="15.8518518518519" style="274" customWidth="1"/>
    <col min="6" max="6" width="16.287037037037" style="274" customWidth="1"/>
    <col min="7" max="9" width="14" style="274" customWidth="1"/>
    <col min="10" max="10" width="14.4259259259259" style="274" customWidth="1"/>
    <col min="11" max="11" width="11.712962962963" customWidth="1"/>
    <col min="13" max="13" width="14" customWidth="1"/>
  </cols>
  <sheetData>
    <row r="1" ht="30" customHeight="1" spans="1:10">
      <c r="A1" s="215" t="s">
        <v>59</v>
      </c>
      <c r="B1" s="215"/>
      <c r="C1" s="215"/>
      <c r="D1" s="215"/>
      <c r="E1" s="215"/>
      <c r="F1" s="215"/>
      <c r="G1" s="215"/>
      <c r="H1" s="215"/>
      <c r="I1" s="215"/>
      <c r="J1" s="215"/>
    </row>
    <row r="2" ht="15" customHeight="1" spans="1:10">
      <c r="A2" s="215" t="s">
        <v>60</v>
      </c>
      <c r="B2" s="215"/>
      <c r="C2" s="215"/>
      <c r="D2" s="215"/>
      <c r="E2" s="215"/>
      <c r="F2" s="215"/>
      <c r="G2" s="215"/>
      <c r="H2" s="215"/>
      <c r="I2" s="215"/>
      <c r="J2" s="215"/>
    </row>
    <row r="3" ht="15" customHeight="1" spans="1:10">
      <c r="A3" s="215" t="s">
        <v>61</v>
      </c>
      <c r="B3" s="215"/>
      <c r="C3" s="215"/>
      <c r="D3" s="215"/>
      <c r="E3" s="215"/>
      <c r="F3" s="215"/>
      <c r="G3" s="215"/>
      <c r="H3" s="215"/>
      <c r="I3" s="215"/>
      <c r="J3" s="215"/>
    </row>
    <row r="4" ht="15" customHeight="1" spans="1:10">
      <c r="A4" s="275" t="s">
        <v>62</v>
      </c>
      <c r="B4" s="275"/>
      <c r="C4" s="275"/>
      <c r="D4" s="275"/>
      <c r="E4" s="275"/>
      <c r="F4" s="275"/>
      <c r="G4" s="275"/>
      <c r="H4" s="275"/>
      <c r="I4" s="275"/>
      <c r="J4" s="275"/>
    </row>
    <row r="5" ht="38.25" customHeight="1" spans="1:10">
      <c r="A5" s="276" t="s">
        <v>63</v>
      </c>
      <c r="B5" s="277" t="s">
        <v>64</v>
      </c>
      <c r="C5" s="278" t="s">
        <v>65</v>
      </c>
      <c r="D5" s="279" t="s">
        <v>66</v>
      </c>
      <c r="E5" s="279" t="s">
        <v>67</v>
      </c>
      <c r="F5" s="342" t="s">
        <v>68</v>
      </c>
      <c r="G5" s="342" t="s">
        <v>69</v>
      </c>
      <c r="H5" s="343" t="s">
        <v>70</v>
      </c>
      <c r="I5" s="342" t="s">
        <v>71</v>
      </c>
      <c r="J5" s="342" t="s">
        <v>72</v>
      </c>
    </row>
    <row r="6" ht="20.25" customHeight="1" spans="1:10">
      <c r="A6" s="281" t="s">
        <v>73</v>
      </c>
      <c r="B6" s="282"/>
      <c r="C6" s="282"/>
      <c r="D6" s="282"/>
      <c r="E6" s="282"/>
      <c r="F6" s="344"/>
      <c r="G6" s="344"/>
      <c r="H6" s="344"/>
      <c r="I6" s="344"/>
      <c r="J6" s="369"/>
    </row>
    <row r="7" ht="28.5" customHeight="1" spans="1:10">
      <c r="A7" s="345">
        <v>1.1</v>
      </c>
      <c r="B7" s="346" t="s">
        <v>74</v>
      </c>
      <c r="C7" s="347"/>
      <c r="D7" s="348"/>
      <c r="E7" s="349"/>
      <c r="F7" s="350"/>
      <c r="G7" s="351"/>
      <c r="H7" s="351"/>
      <c r="I7" s="351"/>
      <c r="J7" s="370"/>
    </row>
    <row r="8" ht="28.5" customHeight="1" spans="1:10">
      <c r="A8" s="345"/>
      <c r="B8" s="352" t="s">
        <v>75</v>
      </c>
      <c r="C8" s="347"/>
      <c r="D8" s="348"/>
      <c r="E8" s="349"/>
      <c r="F8" s="348"/>
      <c r="G8" s="349"/>
      <c r="H8" s="349"/>
      <c r="I8" s="349"/>
      <c r="J8" s="371"/>
    </row>
    <row r="9" ht="28.5" customHeight="1" spans="1:10">
      <c r="A9" s="353" t="s">
        <v>76</v>
      </c>
      <c r="B9" s="354" t="s">
        <v>77</v>
      </c>
      <c r="C9" s="355"/>
      <c r="D9" s="356"/>
      <c r="E9" s="357"/>
      <c r="F9" s="356"/>
      <c r="G9" s="357"/>
      <c r="H9" s="357"/>
      <c r="I9" s="357"/>
      <c r="J9" s="372"/>
    </row>
    <row r="10" ht="28.5" customHeight="1" spans="1:10">
      <c r="A10" s="283"/>
      <c r="B10" s="288" t="s">
        <v>78</v>
      </c>
      <c r="C10" s="285" t="s">
        <v>79</v>
      </c>
      <c r="D10" s="287">
        <f>+ATTACH1!D10</f>
        <v>48</v>
      </c>
      <c r="E10" s="287">
        <f>+ATTACH1!E10</f>
        <v>0</v>
      </c>
      <c r="F10" s="286">
        <v>45</v>
      </c>
      <c r="G10" s="287">
        <f>+ATTACH1!F10</f>
        <v>0</v>
      </c>
      <c r="H10" s="287">
        <f>+ATTACH1!G10</f>
        <v>0</v>
      </c>
      <c r="I10" s="357">
        <f>+ATTACH1!H10</f>
        <v>0</v>
      </c>
      <c r="J10" s="372">
        <f>I10*F10</f>
        <v>0</v>
      </c>
    </row>
    <row r="11" ht="28.5" customHeight="1" spans="1:10">
      <c r="A11" s="283" t="s">
        <v>80</v>
      </c>
      <c r="B11" s="289" t="s">
        <v>81</v>
      </c>
      <c r="C11" s="285"/>
      <c r="D11" s="286"/>
      <c r="E11" s="287"/>
      <c r="F11" s="286"/>
      <c r="G11" s="287"/>
      <c r="H11" s="287"/>
      <c r="I11" s="357"/>
      <c r="J11" s="372"/>
    </row>
    <row r="12" ht="28.5" customHeight="1" spans="1:13">
      <c r="A12" s="283"/>
      <c r="B12" s="290" t="s">
        <v>78</v>
      </c>
      <c r="C12" s="285" t="s">
        <v>79</v>
      </c>
      <c r="D12" s="287">
        <f>+ATTACH1!D12</f>
        <v>55</v>
      </c>
      <c r="E12" s="287">
        <f>+ATTACH1!E12</f>
        <v>63.14</v>
      </c>
      <c r="F12" s="286">
        <v>60</v>
      </c>
      <c r="G12" s="287">
        <f>+ATTACH1!F12</f>
        <v>0</v>
      </c>
      <c r="H12" s="287">
        <f>+ATTACH1!G12</f>
        <v>63.14</v>
      </c>
      <c r="I12" s="357">
        <f>+ATTACH1!H12</f>
        <v>63.14</v>
      </c>
      <c r="J12" s="372">
        <f>I12*F12</f>
        <v>3788.4</v>
      </c>
      <c r="M12" s="373">
        <f>+J15+J33+J43+J49++J66</f>
        <v>316053.35182</v>
      </c>
    </row>
    <row r="13" ht="28.5" customHeight="1" spans="1:10">
      <c r="A13" s="283" t="s">
        <v>82</v>
      </c>
      <c r="B13" s="289" t="s">
        <v>83</v>
      </c>
      <c r="C13" s="285"/>
      <c r="D13" s="286"/>
      <c r="E13" s="287"/>
      <c r="F13" s="286"/>
      <c r="G13" s="287"/>
      <c r="H13" s="287"/>
      <c r="I13" s="357"/>
      <c r="J13" s="372"/>
    </row>
    <row r="14" ht="28.5" customHeight="1" spans="1:10">
      <c r="A14" s="283"/>
      <c r="B14" s="290" t="s">
        <v>78</v>
      </c>
      <c r="C14" s="285" t="s">
        <v>79</v>
      </c>
      <c r="D14" s="287">
        <f>+ATTACH1!D14</f>
        <v>103</v>
      </c>
      <c r="E14" s="287">
        <f>+ATTACH1!E14</f>
        <v>23.45</v>
      </c>
      <c r="F14" s="286">
        <v>80</v>
      </c>
      <c r="G14" s="287">
        <f>+ATTACH1!F14</f>
        <v>0</v>
      </c>
      <c r="H14" s="287">
        <f>+ATTACH1!G14</f>
        <v>23.45</v>
      </c>
      <c r="I14" s="357">
        <f>+ATTACH1!H14</f>
        <v>23.45</v>
      </c>
      <c r="J14" s="372">
        <f>I14*F14</f>
        <v>1876</v>
      </c>
    </row>
    <row r="15" ht="20.25" customHeight="1" spans="1:10">
      <c r="A15" s="292" t="s">
        <v>84</v>
      </c>
      <c r="B15" s="293"/>
      <c r="C15" s="293"/>
      <c r="D15" s="293"/>
      <c r="E15" s="293"/>
      <c r="F15" s="293"/>
      <c r="G15" s="358"/>
      <c r="H15" s="293"/>
      <c r="I15" s="374"/>
      <c r="J15" s="375">
        <f>SUM(J7:J14)</f>
        <v>5664.4</v>
      </c>
    </row>
    <row r="16" spans="1:10">
      <c r="A16" s="283">
        <v>1.2</v>
      </c>
      <c r="B16" s="290" t="s">
        <v>85</v>
      </c>
      <c r="C16" s="294"/>
      <c r="D16" s="295"/>
      <c r="E16" s="296"/>
      <c r="F16" s="295"/>
      <c r="G16" s="296"/>
      <c r="H16" s="296"/>
      <c r="I16" s="376"/>
      <c r="J16" s="372"/>
    </row>
    <row r="17" spans="1:10">
      <c r="A17" s="283" t="s">
        <v>86</v>
      </c>
      <c r="B17" s="289" t="s">
        <v>87</v>
      </c>
      <c r="C17" s="294"/>
      <c r="D17" s="295"/>
      <c r="E17" s="296"/>
      <c r="F17" s="295"/>
      <c r="G17" s="296"/>
      <c r="H17" s="296"/>
      <c r="I17" s="376"/>
      <c r="J17" s="372"/>
    </row>
    <row r="18" spans="1:10">
      <c r="A18" s="283"/>
      <c r="B18" s="288" t="s">
        <v>78</v>
      </c>
      <c r="C18" s="294" t="s">
        <v>79</v>
      </c>
      <c r="D18" s="287">
        <f>+ATTACH1!D18</f>
        <v>1</v>
      </c>
      <c r="E18" s="287">
        <f>+ATTACH1!E18</f>
        <v>5.75</v>
      </c>
      <c r="F18" s="295">
        <v>850</v>
      </c>
      <c r="G18" s="287">
        <f>+ATTACH1!F18</f>
        <v>0</v>
      </c>
      <c r="H18" s="287">
        <f>+ATTACH1!G18</f>
        <v>5.75</v>
      </c>
      <c r="I18" s="357">
        <f>+ATTACH1!H18</f>
        <v>5.75</v>
      </c>
      <c r="J18" s="372">
        <f>I18*F18</f>
        <v>4887.5</v>
      </c>
    </row>
    <row r="19" spans="1:10">
      <c r="A19" s="283" t="s">
        <v>88</v>
      </c>
      <c r="B19" s="289" t="s">
        <v>89</v>
      </c>
      <c r="C19" s="294"/>
      <c r="D19" s="295"/>
      <c r="E19" s="296"/>
      <c r="F19" s="359"/>
      <c r="G19" s="296"/>
      <c r="H19" s="296"/>
      <c r="I19" s="376"/>
      <c r="J19" s="372">
        <f t="shared" ref="J19:J32" si="0">I19*F19</f>
        <v>0</v>
      </c>
    </row>
    <row r="20" spans="1:10">
      <c r="A20" s="283"/>
      <c r="B20" s="288" t="s">
        <v>78</v>
      </c>
      <c r="C20" s="294" t="s">
        <v>79</v>
      </c>
      <c r="D20" s="287">
        <f>+ATTACH1!D20</f>
        <v>5</v>
      </c>
      <c r="E20" s="287">
        <f>+ATTACH1!E20</f>
        <v>1.06</v>
      </c>
      <c r="F20" s="359">
        <v>800</v>
      </c>
      <c r="G20" s="287">
        <f>+ATTACH1!F20</f>
        <v>0</v>
      </c>
      <c r="H20" s="287">
        <f>+ATTACH1!G20</f>
        <v>1.06</v>
      </c>
      <c r="I20" s="357">
        <f>+ATTACH1!H20</f>
        <v>1.06</v>
      </c>
      <c r="J20" s="372">
        <f t="shared" si="0"/>
        <v>848</v>
      </c>
    </row>
    <row r="21" spans="1:10">
      <c r="A21" s="283" t="s">
        <v>90</v>
      </c>
      <c r="B21" s="289" t="s">
        <v>91</v>
      </c>
      <c r="C21" s="294"/>
      <c r="D21" s="295"/>
      <c r="E21" s="296"/>
      <c r="F21" s="359"/>
      <c r="G21" s="296"/>
      <c r="H21" s="296"/>
      <c r="I21" s="376"/>
      <c r="J21" s="372">
        <f t="shared" si="0"/>
        <v>0</v>
      </c>
    </row>
    <row r="22" spans="1:10">
      <c r="A22" s="283"/>
      <c r="B22" s="288" t="s">
        <v>78</v>
      </c>
      <c r="C22" s="294" t="s">
        <v>79</v>
      </c>
      <c r="D22" s="287">
        <f>+ATTACH1!D22</f>
        <v>2</v>
      </c>
      <c r="E22" s="287">
        <f>+ATTACH1!E22</f>
        <v>1.27</v>
      </c>
      <c r="F22" s="359">
        <v>1200</v>
      </c>
      <c r="G22" s="287">
        <f>+ATTACH1!F22</f>
        <v>0</v>
      </c>
      <c r="H22" s="287">
        <f>+ATTACH1!G22</f>
        <v>1.27</v>
      </c>
      <c r="I22" s="357">
        <f>+ATTACH1!H22</f>
        <v>1.27</v>
      </c>
      <c r="J22" s="372">
        <f t="shared" si="0"/>
        <v>1524</v>
      </c>
    </row>
    <row r="23" spans="1:10">
      <c r="A23" s="283" t="s">
        <v>92</v>
      </c>
      <c r="B23" s="289" t="s">
        <v>93</v>
      </c>
      <c r="C23" s="294"/>
      <c r="D23" s="295"/>
      <c r="E23" s="296"/>
      <c r="F23" s="359"/>
      <c r="G23" s="296"/>
      <c r="H23" s="296"/>
      <c r="I23" s="376"/>
      <c r="J23" s="372">
        <f t="shared" si="0"/>
        <v>0</v>
      </c>
    </row>
    <row r="24" spans="1:10">
      <c r="A24" s="283"/>
      <c r="B24" s="288" t="s">
        <v>78</v>
      </c>
      <c r="C24" s="294" t="s">
        <v>79</v>
      </c>
      <c r="D24" s="287">
        <f>+ATTACH1!D24</f>
        <v>9</v>
      </c>
      <c r="E24" s="287">
        <f>+ATTACH1!E24</f>
        <v>7.85</v>
      </c>
      <c r="F24" s="359">
        <f>F22</f>
        <v>1200</v>
      </c>
      <c r="G24" s="287">
        <f>+ATTACH1!F24</f>
        <v>0</v>
      </c>
      <c r="H24" s="287">
        <f>+ATTACH1!G24</f>
        <v>7.85</v>
      </c>
      <c r="I24" s="357">
        <f>+ATTACH1!H24</f>
        <v>7.85</v>
      </c>
      <c r="J24" s="372">
        <f t="shared" si="0"/>
        <v>9420</v>
      </c>
    </row>
    <row r="25" spans="1:10">
      <c r="A25" s="283" t="s">
        <v>94</v>
      </c>
      <c r="B25" s="289" t="s">
        <v>95</v>
      </c>
      <c r="C25" s="294"/>
      <c r="D25" s="295"/>
      <c r="E25" s="296"/>
      <c r="F25" s="359"/>
      <c r="G25" s="296"/>
      <c r="H25" s="296"/>
      <c r="I25" s="376"/>
      <c r="J25" s="372">
        <f t="shared" si="0"/>
        <v>0</v>
      </c>
    </row>
    <row r="26" spans="1:10">
      <c r="A26" s="283"/>
      <c r="B26" s="288" t="s">
        <v>78</v>
      </c>
      <c r="C26" s="294" t="s">
        <v>79</v>
      </c>
      <c r="D26" s="287">
        <f>+ATTACH1!D26</f>
        <v>7</v>
      </c>
      <c r="E26" s="287">
        <f>+ATTACH1!E26</f>
        <v>6.28</v>
      </c>
      <c r="F26" s="359">
        <f>F24</f>
        <v>1200</v>
      </c>
      <c r="G26" s="287">
        <f>+ATTACH1!F26</f>
        <v>0</v>
      </c>
      <c r="H26" s="287">
        <f>+ATTACH1!G26</f>
        <v>6.28</v>
      </c>
      <c r="I26" s="357">
        <f>+ATTACH1!H26</f>
        <v>6.28</v>
      </c>
      <c r="J26" s="372">
        <f t="shared" si="0"/>
        <v>7536</v>
      </c>
    </row>
    <row r="27" spans="1:10">
      <c r="A27" s="283" t="s">
        <v>96</v>
      </c>
      <c r="B27" s="298" t="s">
        <v>97</v>
      </c>
      <c r="C27" s="294"/>
      <c r="D27" s="295"/>
      <c r="E27" s="296"/>
      <c r="F27" s="359"/>
      <c r="G27" s="296"/>
      <c r="H27" s="296"/>
      <c r="I27" s="376"/>
      <c r="J27" s="372">
        <f t="shared" si="0"/>
        <v>0</v>
      </c>
    </row>
    <row r="28" spans="1:10">
      <c r="A28" s="283"/>
      <c r="B28" s="288" t="s">
        <v>98</v>
      </c>
      <c r="C28" s="294" t="s">
        <v>99</v>
      </c>
      <c r="D28" s="287">
        <f>+ATTACH1!D28</f>
        <v>1416</v>
      </c>
      <c r="E28" s="287">
        <f>+ATTACH1!E28</f>
        <v>1547.168565</v>
      </c>
      <c r="F28" s="359">
        <v>12</v>
      </c>
      <c r="G28" s="287">
        <f>+ATTACH1!F28</f>
        <v>0</v>
      </c>
      <c r="H28" s="287">
        <f>+ATTACH1!G28</f>
        <v>1547.168565</v>
      </c>
      <c r="I28" s="357">
        <f>+ATTACH1!H28</f>
        <v>1547.168565</v>
      </c>
      <c r="J28" s="372">
        <f t="shared" si="0"/>
        <v>18566.02278</v>
      </c>
    </row>
    <row r="29" spans="1:10">
      <c r="A29" s="283" t="s">
        <v>100</v>
      </c>
      <c r="B29" s="298" t="s">
        <v>101</v>
      </c>
      <c r="C29" s="294"/>
      <c r="D29" s="295"/>
      <c r="E29" s="296"/>
      <c r="F29" s="359"/>
      <c r="G29" s="296"/>
      <c r="H29" s="296"/>
      <c r="I29" s="376"/>
      <c r="J29" s="372">
        <f t="shared" si="0"/>
        <v>0</v>
      </c>
    </row>
    <row r="30" spans="1:10">
      <c r="A30" s="283"/>
      <c r="B30" s="288" t="s">
        <v>98</v>
      </c>
      <c r="C30" s="294" t="s">
        <v>102</v>
      </c>
      <c r="D30" s="287">
        <f>+ATTACH1!D30</f>
        <v>27</v>
      </c>
      <c r="E30" s="287">
        <f>+ATTACH1!E30</f>
        <v>17.96</v>
      </c>
      <c r="F30" s="359">
        <v>90</v>
      </c>
      <c r="G30" s="287">
        <f>+ATTACH1!F30</f>
        <v>0</v>
      </c>
      <c r="H30" s="287">
        <f>+ATTACH1!G30</f>
        <v>17.96</v>
      </c>
      <c r="I30" s="357">
        <f>+ATTACH1!H30</f>
        <v>17.96</v>
      </c>
      <c r="J30" s="372">
        <f t="shared" si="0"/>
        <v>1616.4</v>
      </c>
    </row>
    <row r="31" spans="1:10">
      <c r="A31" s="283" t="s">
        <v>103</v>
      </c>
      <c r="B31" s="298" t="s">
        <v>104</v>
      </c>
      <c r="C31" s="294"/>
      <c r="D31" s="295"/>
      <c r="E31" s="296"/>
      <c r="F31" s="359"/>
      <c r="G31" s="296"/>
      <c r="H31" s="296"/>
      <c r="I31" s="376"/>
      <c r="J31" s="372">
        <f t="shared" si="0"/>
        <v>0</v>
      </c>
    </row>
    <row r="32" ht="15.15" spans="1:10">
      <c r="A32" s="283"/>
      <c r="B32" s="288" t="s">
        <v>98</v>
      </c>
      <c r="C32" s="294" t="s">
        <v>79</v>
      </c>
      <c r="D32" s="287">
        <f>+ATTACH1!D32</f>
        <v>18</v>
      </c>
      <c r="E32" s="287">
        <f>+ATTACH1!E32</f>
        <v>17.48</v>
      </c>
      <c r="F32" s="359">
        <v>400</v>
      </c>
      <c r="G32" s="287">
        <f>+ATTACH1!F32</f>
        <v>0</v>
      </c>
      <c r="H32" s="287">
        <f>+ATTACH1!G32</f>
        <v>17.48</v>
      </c>
      <c r="I32" s="357">
        <f>+ATTACH1!H32</f>
        <v>17.48</v>
      </c>
      <c r="J32" s="372">
        <f t="shared" si="0"/>
        <v>6992</v>
      </c>
    </row>
    <row r="33" ht="20.25" customHeight="1" spans="1:10">
      <c r="A33" s="360" t="s">
        <v>105</v>
      </c>
      <c r="B33" s="361"/>
      <c r="C33" s="361"/>
      <c r="D33" s="361"/>
      <c r="E33" s="361"/>
      <c r="F33" s="362"/>
      <c r="G33" s="361"/>
      <c r="H33" s="361"/>
      <c r="I33" s="377"/>
      <c r="J33" s="375">
        <f>SUM(J17:J32)</f>
        <v>51389.92278</v>
      </c>
    </row>
    <row r="34" ht="21.75" customHeight="1" spans="1:10">
      <c r="A34" s="283">
        <v>1.3</v>
      </c>
      <c r="B34" s="290" t="s">
        <v>106</v>
      </c>
      <c r="C34" s="294"/>
      <c r="D34" s="299"/>
      <c r="E34" s="287"/>
      <c r="F34" s="359"/>
      <c r="G34" s="299"/>
      <c r="H34" s="299"/>
      <c r="I34" s="378"/>
      <c r="J34" s="379"/>
    </row>
    <row r="35" spans="1:10">
      <c r="A35" s="283" t="s">
        <v>107</v>
      </c>
      <c r="B35" s="302" t="s">
        <v>108</v>
      </c>
      <c r="C35" s="294"/>
      <c r="D35" s="299"/>
      <c r="E35" s="287"/>
      <c r="F35" s="359"/>
      <c r="G35" s="299"/>
      <c r="H35" s="299"/>
      <c r="I35" s="378"/>
      <c r="J35" s="379"/>
    </row>
    <row r="36" spans="1:10">
      <c r="A36" s="283"/>
      <c r="B36" s="288" t="s">
        <v>109</v>
      </c>
      <c r="C36" s="294" t="s">
        <v>65</v>
      </c>
      <c r="D36" s="287">
        <f>+ATTACH1!D36</f>
        <v>2</v>
      </c>
      <c r="E36" s="287">
        <f>+ATTACH1!E36</f>
        <v>7</v>
      </c>
      <c r="F36" s="359">
        <v>550</v>
      </c>
      <c r="G36" s="299">
        <f>+ATTACH1!F36</f>
        <v>0</v>
      </c>
      <c r="H36" s="299">
        <f>+ATTACH1!G36</f>
        <v>7</v>
      </c>
      <c r="I36" s="378">
        <f>+ATTACH1!H36</f>
        <v>7</v>
      </c>
      <c r="J36" s="379">
        <f t="shared" ref="J36:J42" si="1">I36*F36</f>
        <v>3850</v>
      </c>
    </row>
    <row r="37" spans="1:10">
      <c r="A37" s="283" t="s">
        <v>110</v>
      </c>
      <c r="B37" s="302" t="s">
        <v>111</v>
      </c>
      <c r="C37" s="294"/>
      <c r="D37" s="299"/>
      <c r="E37" s="287"/>
      <c r="F37" s="359"/>
      <c r="G37" s="299"/>
      <c r="H37" s="299"/>
      <c r="I37" s="378"/>
      <c r="J37" s="379">
        <f t="shared" si="1"/>
        <v>0</v>
      </c>
    </row>
    <row r="38" spans="1:10">
      <c r="A38" s="283"/>
      <c r="B38" s="288" t="s">
        <v>109</v>
      </c>
      <c r="C38" s="294" t="s">
        <v>65</v>
      </c>
      <c r="D38" s="287">
        <f>+ATTACH1!D38</f>
        <v>4</v>
      </c>
      <c r="E38" s="287">
        <f>+ATTACH1!E38</f>
        <v>0</v>
      </c>
      <c r="F38" s="359">
        <v>650</v>
      </c>
      <c r="G38" s="299">
        <f>+ATTACH1!F38</f>
        <v>0</v>
      </c>
      <c r="H38" s="299">
        <f>+ATTACH1!G38</f>
        <v>0</v>
      </c>
      <c r="I38" s="378">
        <f>+ATTACH1!H38</f>
        <v>0</v>
      </c>
      <c r="J38" s="379">
        <f t="shared" si="1"/>
        <v>0</v>
      </c>
    </row>
    <row r="39" spans="1:10">
      <c r="A39" s="283" t="s">
        <v>112</v>
      </c>
      <c r="B39" s="298" t="s">
        <v>113</v>
      </c>
      <c r="C39" s="294"/>
      <c r="D39" s="299"/>
      <c r="E39" s="287"/>
      <c r="F39" s="359"/>
      <c r="G39" s="299"/>
      <c r="H39" s="299"/>
      <c r="I39" s="378"/>
      <c r="J39" s="379">
        <f t="shared" si="1"/>
        <v>0</v>
      </c>
    </row>
    <row r="40" spans="1:10">
      <c r="A40" s="283"/>
      <c r="B40" s="288" t="s">
        <v>109</v>
      </c>
      <c r="C40" s="294" t="s">
        <v>65</v>
      </c>
      <c r="D40" s="287">
        <f>+ATTACH1!D40</f>
        <v>2</v>
      </c>
      <c r="E40" s="287">
        <f>+ATTACH1!E40</f>
        <v>8</v>
      </c>
      <c r="F40" s="359">
        <v>850</v>
      </c>
      <c r="G40" s="299">
        <f>+ATTACH1!F40</f>
        <v>0</v>
      </c>
      <c r="H40" s="299">
        <f>+ATTACH1!G40</f>
        <v>8</v>
      </c>
      <c r="I40" s="378">
        <f>+ATTACH1!H40</f>
        <v>8</v>
      </c>
      <c r="J40" s="379">
        <f t="shared" si="1"/>
        <v>6800</v>
      </c>
    </row>
    <row r="41" spans="1:10">
      <c r="A41" s="283" t="s">
        <v>114</v>
      </c>
      <c r="B41" s="298" t="s">
        <v>115</v>
      </c>
      <c r="C41" s="294"/>
      <c r="D41" s="299"/>
      <c r="E41" s="287"/>
      <c r="F41" s="359"/>
      <c r="G41" s="299"/>
      <c r="H41" s="299"/>
      <c r="I41" s="378"/>
      <c r="J41" s="379">
        <f t="shared" si="1"/>
        <v>0</v>
      </c>
    </row>
    <row r="42" ht="15.15" spans="1:10">
      <c r="A42" s="283"/>
      <c r="B42" s="288" t="s">
        <v>116</v>
      </c>
      <c r="C42" s="294" t="s">
        <v>117</v>
      </c>
      <c r="D42" s="287">
        <f>+ATTACH1!D42</f>
        <v>34</v>
      </c>
      <c r="E42" s="287">
        <f>+ATTACH1!E42</f>
        <v>82</v>
      </c>
      <c r="F42" s="359">
        <v>200</v>
      </c>
      <c r="G42" s="299">
        <f>+ATTACH1!F42</f>
        <v>0</v>
      </c>
      <c r="H42" s="299">
        <f>+ATTACH1!G42</f>
        <v>23</v>
      </c>
      <c r="I42" s="378">
        <f>+ATTACH1!H42</f>
        <v>23</v>
      </c>
      <c r="J42" s="379">
        <f t="shared" si="1"/>
        <v>4600</v>
      </c>
    </row>
    <row r="43" ht="20.25" customHeight="1" spans="1:10">
      <c r="A43" s="292" t="s">
        <v>118</v>
      </c>
      <c r="B43" s="293"/>
      <c r="C43" s="293"/>
      <c r="D43" s="293"/>
      <c r="E43" s="293"/>
      <c r="F43" s="293"/>
      <c r="G43" s="293"/>
      <c r="H43" s="293"/>
      <c r="I43" s="374"/>
      <c r="J43" s="375">
        <f>SUM(J35:J42)</f>
        <v>15250</v>
      </c>
    </row>
    <row r="44" spans="1:10">
      <c r="A44" s="283">
        <v>1.4</v>
      </c>
      <c r="B44" s="290" t="s">
        <v>119</v>
      </c>
      <c r="C44" s="294"/>
      <c r="D44" s="305"/>
      <c r="E44" s="299"/>
      <c r="F44" s="359"/>
      <c r="G44" s="299"/>
      <c r="H44" s="299"/>
      <c r="I44" s="378"/>
      <c r="J44" s="379"/>
    </row>
    <row r="45" spans="1:10">
      <c r="A45" s="283" t="s">
        <v>120</v>
      </c>
      <c r="B45" s="289" t="s">
        <v>121</v>
      </c>
      <c r="C45" s="294"/>
      <c r="D45" s="305"/>
      <c r="E45" s="299"/>
      <c r="F45" s="359"/>
      <c r="G45" s="299"/>
      <c r="H45" s="299"/>
      <c r="I45" s="378"/>
      <c r="J45" s="379"/>
    </row>
    <row r="46" spans="1:10">
      <c r="A46" s="283"/>
      <c r="B46" s="288" t="s">
        <v>98</v>
      </c>
      <c r="C46" s="294" t="s">
        <v>102</v>
      </c>
      <c r="D46" s="287">
        <f>+ATTACH1!D46</f>
        <v>114</v>
      </c>
      <c r="E46" s="299">
        <f>+ATTACH1!E46</f>
        <v>113.42</v>
      </c>
      <c r="F46" s="359">
        <v>55</v>
      </c>
      <c r="G46" s="299">
        <f>+ATTACH1!F46</f>
        <v>0</v>
      </c>
      <c r="H46" s="299">
        <f>+ATTACH1!G46</f>
        <v>113.42</v>
      </c>
      <c r="I46" s="378">
        <f>+ATTACH1!H46</f>
        <v>113.42</v>
      </c>
      <c r="J46" s="379">
        <f>I46*F46</f>
        <v>6238.1</v>
      </c>
    </row>
    <row r="47" spans="1:10">
      <c r="A47" s="283" t="s">
        <v>122</v>
      </c>
      <c r="B47" s="289" t="s">
        <v>123</v>
      </c>
      <c r="C47" s="294"/>
      <c r="D47" s="305"/>
      <c r="E47" s="299"/>
      <c r="F47" s="359"/>
      <c r="G47" s="299"/>
      <c r="H47" s="299"/>
      <c r="I47" s="378"/>
      <c r="J47" s="379">
        <f t="shared" ref="J47:J48" si="2">I47*F47</f>
        <v>0</v>
      </c>
    </row>
    <row r="48" ht="15.15" spans="1:10">
      <c r="A48" s="283"/>
      <c r="B48" s="288" t="s">
        <v>98</v>
      </c>
      <c r="C48" s="294" t="s">
        <v>102</v>
      </c>
      <c r="D48" s="287">
        <f>+ATTACH1!D48</f>
        <v>114</v>
      </c>
      <c r="E48" s="299">
        <f>+ATTACH1!E48</f>
        <v>113.42</v>
      </c>
      <c r="F48" s="359">
        <v>280</v>
      </c>
      <c r="G48" s="299">
        <f>+ATTACH1!F48</f>
        <v>0</v>
      </c>
      <c r="H48" s="299">
        <f>+ATTACH1!G48</f>
        <v>113.42</v>
      </c>
      <c r="I48" s="378">
        <f>+ATTACH1!H48</f>
        <v>113.42</v>
      </c>
      <c r="J48" s="379">
        <f t="shared" si="2"/>
        <v>31757.6</v>
      </c>
    </row>
    <row r="49" ht="15.15" spans="1:10">
      <c r="A49" s="363"/>
      <c r="B49" s="364" t="s">
        <v>124</v>
      </c>
      <c r="C49" s="365"/>
      <c r="D49" s="366"/>
      <c r="E49" s="366"/>
      <c r="F49" s="367"/>
      <c r="G49" s="366"/>
      <c r="H49" s="366"/>
      <c r="I49" s="380"/>
      <c r="J49" s="375">
        <f>SUM(J46:J48)</f>
        <v>37995.7</v>
      </c>
    </row>
    <row r="50" spans="1:10">
      <c r="A50" s="283">
        <v>1.5</v>
      </c>
      <c r="B50" s="290" t="s">
        <v>125</v>
      </c>
      <c r="C50" s="294"/>
      <c r="D50" s="295"/>
      <c r="E50" s="368"/>
      <c r="F50" s="295"/>
      <c r="G50" s="296"/>
      <c r="H50" s="296"/>
      <c r="I50" s="376"/>
      <c r="J50" s="381"/>
    </row>
    <row r="51" spans="1:10">
      <c r="A51" s="283" t="s">
        <v>126</v>
      </c>
      <c r="B51" s="289" t="s">
        <v>127</v>
      </c>
      <c r="C51" s="294"/>
      <c r="D51" s="295"/>
      <c r="E51" s="296"/>
      <c r="F51" s="295"/>
      <c r="G51" s="296"/>
      <c r="H51" s="296"/>
      <c r="I51" s="376"/>
      <c r="J51" s="382"/>
    </row>
    <row r="52" spans="1:10">
      <c r="A52" s="283"/>
      <c r="B52" s="288" t="s">
        <v>78</v>
      </c>
      <c r="C52" s="294" t="s">
        <v>79</v>
      </c>
      <c r="D52" s="286">
        <v>11</v>
      </c>
      <c r="E52" s="287">
        <f>+ATTACH1!E54</f>
        <v>13.83832</v>
      </c>
      <c r="F52" s="295">
        <v>1200</v>
      </c>
      <c r="G52" s="287">
        <f>+ATTACH1!F52</f>
        <v>0</v>
      </c>
      <c r="H52" s="287">
        <f>+E52</f>
        <v>13.83832</v>
      </c>
      <c r="I52" s="357">
        <f>+ATTACH1!H54</f>
        <v>13.83832</v>
      </c>
      <c r="J52" s="382">
        <f>I52*F52</f>
        <v>16605.984</v>
      </c>
    </row>
    <row r="53" spans="1:10">
      <c r="A53" s="283" t="s">
        <v>128</v>
      </c>
      <c r="B53" s="289" t="s">
        <v>129</v>
      </c>
      <c r="C53" s="294"/>
      <c r="D53" s="286">
        <v>0</v>
      </c>
      <c r="E53" s="296"/>
      <c r="F53" s="359"/>
      <c r="G53" s="296"/>
      <c r="H53" s="287"/>
      <c r="I53" s="376"/>
      <c r="J53" s="382">
        <f t="shared" ref="J53:J64" si="3">I53*F53</f>
        <v>0</v>
      </c>
    </row>
    <row r="54" spans="1:10">
      <c r="A54" s="283"/>
      <c r="B54" s="288" t="s">
        <v>78</v>
      </c>
      <c r="C54" s="294" t="s">
        <v>79</v>
      </c>
      <c r="D54" s="286">
        <v>17</v>
      </c>
      <c r="E54" s="287">
        <f>+ATTACH1!E56</f>
        <v>20.985</v>
      </c>
      <c r="F54" s="359">
        <v>1200</v>
      </c>
      <c r="G54" s="287">
        <f>+ATTACH1!F54</f>
        <v>0</v>
      </c>
      <c r="H54" s="287">
        <f t="shared" ref="H54:H64" si="4">+E54</f>
        <v>20.985</v>
      </c>
      <c r="I54" s="357">
        <f>+ATTACH1!H56</f>
        <v>20.985</v>
      </c>
      <c r="J54" s="382">
        <f t="shared" si="3"/>
        <v>25182</v>
      </c>
    </row>
    <row r="55" spans="1:10">
      <c r="A55" s="283" t="s">
        <v>130</v>
      </c>
      <c r="B55" s="289" t="s">
        <v>131</v>
      </c>
      <c r="C55" s="294"/>
      <c r="D55" s="286">
        <v>0</v>
      </c>
      <c r="E55" s="296"/>
      <c r="F55" s="359"/>
      <c r="G55" s="296"/>
      <c r="H55" s="287"/>
      <c r="I55" s="376"/>
      <c r="J55" s="382">
        <f t="shared" si="3"/>
        <v>0</v>
      </c>
    </row>
    <row r="56" spans="1:10">
      <c r="A56" s="283"/>
      <c r="B56" s="288" t="s">
        <v>78</v>
      </c>
      <c r="C56" s="294" t="s">
        <v>79</v>
      </c>
      <c r="D56" s="286">
        <v>9</v>
      </c>
      <c r="E56" s="287">
        <f>+ATTACH1!E58</f>
        <v>10.099056</v>
      </c>
      <c r="F56" s="359">
        <v>1200</v>
      </c>
      <c r="G56" s="287">
        <f>+ATTACH1!F56</f>
        <v>0</v>
      </c>
      <c r="H56" s="287">
        <f t="shared" si="4"/>
        <v>10.099056</v>
      </c>
      <c r="I56" s="357">
        <f>+ATTACH1!H58</f>
        <v>10.099056</v>
      </c>
      <c r="J56" s="382">
        <f t="shared" si="3"/>
        <v>12118.8672</v>
      </c>
    </row>
    <row r="57" spans="1:10">
      <c r="A57" s="283" t="s">
        <v>132</v>
      </c>
      <c r="B57" s="289" t="s">
        <v>133</v>
      </c>
      <c r="C57" s="294"/>
      <c r="D57" s="286">
        <v>0</v>
      </c>
      <c r="E57" s="296"/>
      <c r="F57" s="359"/>
      <c r="G57" s="296"/>
      <c r="H57" s="287"/>
      <c r="I57" s="376"/>
      <c r="J57" s="382">
        <f t="shared" si="3"/>
        <v>0</v>
      </c>
    </row>
    <row r="58" spans="1:10">
      <c r="A58" s="283"/>
      <c r="B58" s="288" t="s">
        <v>78</v>
      </c>
      <c r="C58" s="294" t="s">
        <v>79</v>
      </c>
      <c r="D58" s="286">
        <v>3</v>
      </c>
      <c r="E58" s="287">
        <f>+ATTACH1!E60</f>
        <v>1.555</v>
      </c>
      <c r="F58" s="359">
        <v>1200</v>
      </c>
      <c r="G58" s="287">
        <f>+ATTACH1!F58</f>
        <v>0</v>
      </c>
      <c r="H58" s="287">
        <f t="shared" si="4"/>
        <v>1.555</v>
      </c>
      <c r="I58" s="357">
        <f>+ATTACH1!H60</f>
        <v>1.555</v>
      </c>
      <c r="J58" s="382">
        <f t="shared" si="3"/>
        <v>1866</v>
      </c>
    </row>
    <row r="59" spans="1:10">
      <c r="A59" s="283" t="s">
        <v>134</v>
      </c>
      <c r="B59" s="298" t="s">
        <v>135</v>
      </c>
      <c r="C59" s="294"/>
      <c r="D59" s="286">
        <v>0</v>
      </c>
      <c r="E59" s="296"/>
      <c r="F59" s="359"/>
      <c r="G59" s="296"/>
      <c r="H59" s="287"/>
      <c r="I59" s="376"/>
      <c r="J59" s="382">
        <f t="shared" si="3"/>
        <v>0</v>
      </c>
    </row>
    <row r="60" spans="1:10">
      <c r="A60" s="283"/>
      <c r="B60" s="288" t="s">
        <v>78</v>
      </c>
      <c r="C60" s="294" t="s">
        <v>79</v>
      </c>
      <c r="D60" s="286">
        <v>5</v>
      </c>
      <c r="E60" s="287">
        <f>+ATTACH1!E62</f>
        <v>2.73416</v>
      </c>
      <c r="F60" s="359">
        <v>1200</v>
      </c>
      <c r="G60" s="287">
        <f>+ATTACH1!F60</f>
        <v>0</v>
      </c>
      <c r="H60" s="287">
        <f t="shared" si="4"/>
        <v>2.73416</v>
      </c>
      <c r="I60" s="357">
        <f>+ATTACH1!H62</f>
        <v>2.73416</v>
      </c>
      <c r="J60" s="382">
        <f t="shared" si="3"/>
        <v>3280.992</v>
      </c>
    </row>
    <row r="61" spans="1:10">
      <c r="A61" s="283" t="s">
        <v>136</v>
      </c>
      <c r="B61" s="298" t="s">
        <v>97</v>
      </c>
      <c r="C61" s="294"/>
      <c r="D61" s="286">
        <v>0</v>
      </c>
      <c r="E61" s="296"/>
      <c r="F61" s="359"/>
      <c r="G61" s="296"/>
      <c r="H61" s="287"/>
      <c r="I61" s="376"/>
      <c r="J61" s="382">
        <f t="shared" si="3"/>
        <v>0</v>
      </c>
    </row>
    <row r="62" spans="1:10">
      <c r="A62" s="283"/>
      <c r="B62" s="288" t="s">
        <v>98</v>
      </c>
      <c r="C62" s="294" t="s">
        <v>99</v>
      </c>
      <c r="D62" s="286">
        <v>3032</v>
      </c>
      <c r="E62" s="287">
        <f>+ATTACH1!E64</f>
        <v>5183.34882</v>
      </c>
      <c r="F62" s="359">
        <v>12</v>
      </c>
      <c r="G62" s="287">
        <f>+ATTACH1!F62</f>
        <v>0</v>
      </c>
      <c r="H62" s="287">
        <f t="shared" si="4"/>
        <v>5183.34882</v>
      </c>
      <c r="I62" s="357">
        <f>+ATTACH1!H64</f>
        <v>5183.34882</v>
      </c>
      <c r="J62" s="382">
        <f t="shared" si="3"/>
        <v>62200.18584</v>
      </c>
    </row>
    <row r="63" spans="1:10">
      <c r="A63" s="283" t="s">
        <v>137</v>
      </c>
      <c r="B63" s="298" t="s">
        <v>138</v>
      </c>
      <c r="C63" s="294"/>
      <c r="D63" s="286">
        <v>0</v>
      </c>
      <c r="E63" s="296"/>
      <c r="F63" s="359"/>
      <c r="G63" s="296"/>
      <c r="H63" s="287"/>
      <c r="I63" s="376"/>
      <c r="J63" s="382">
        <f t="shared" si="3"/>
        <v>0</v>
      </c>
    </row>
    <row r="64" spans="1:10">
      <c r="A64" s="283"/>
      <c r="B64" s="288" t="s">
        <v>98</v>
      </c>
      <c r="C64" s="294" t="s">
        <v>102</v>
      </c>
      <c r="D64" s="286">
        <v>197</v>
      </c>
      <c r="E64" s="287">
        <f>+ATTACH1!E66</f>
        <v>196.51</v>
      </c>
      <c r="F64" s="359">
        <v>430</v>
      </c>
      <c r="G64" s="287">
        <f>+ATTACH1!F64</f>
        <v>0</v>
      </c>
      <c r="H64" s="287">
        <f t="shared" si="4"/>
        <v>196.51</v>
      </c>
      <c r="I64" s="357">
        <f>+ATTACH1!H66</f>
        <v>196.51</v>
      </c>
      <c r="J64" s="382">
        <f t="shared" si="3"/>
        <v>84499.3</v>
      </c>
    </row>
    <row r="65" spans="1:10">
      <c r="A65" s="283"/>
      <c r="B65" s="383"/>
      <c r="C65" s="384"/>
      <c r="D65" s="385"/>
      <c r="E65" s="386"/>
      <c r="F65" s="387"/>
      <c r="G65" s="386"/>
      <c r="H65" s="386"/>
      <c r="I65" s="395"/>
      <c r="J65" s="396">
        <f t="shared" ref="J65" si="5">I65*F65</f>
        <v>0</v>
      </c>
    </row>
    <row r="66" spans="1:10">
      <c r="A66" s="283"/>
      <c r="B66" s="388" t="s">
        <v>139</v>
      </c>
      <c r="C66" s="335"/>
      <c r="D66" s="305"/>
      <c r="E66" s="305"/>
      <c r="F66" s="312"/>
      <c r="G66" s="305"/>
      <c r="H66" s="305"/>
      <c r="I66" s="397"/>
      <c r="J66" s="398">
        <f>SUM(J52:J65)</f>
        <v>205753.32904</v>
      </c>
    </row>
    <row r="67" ht="15.15" spans="1:10">
      <c r="A67" s="283"/>
      <c r="B67" s="389"/>
      <c r="C67" s="335"/>
      <c r="D67" s="305"/>
      <c r="E67" s="305"/>
      <c r="F67" s="312"/>
      <c r="G67" s="305"/>
      <c r="H67" s="305"/>
      <c r="I67" s="397"/>
      <c r="J67" s="399"/>
    </row>
    <row r="68" ht="20.25" customHeight="1" spans="1:10">
      <c r="A68" s="390" t="s">
        <v>140</v>
      </c>
      <c r="B68" s="391"/>
      <c r="C68" s="391"/>
      <c r="D68" s="391"/>
      <c r="E68" s="391"/>
      <c r="F68" s="391"/>
      <c r="G68" s="391"/>
      <c r="H68" s="391"/>
      <c r="I68" s="391"/>
      <c r="J68" s="400">
        <f>+SUM(J15+J33+J43+J49+J66)</f>
        <v>316053.35182</v>
      </c>
    </row>
    <row r="69" spans="1:2">
      <c r="A69" s="392"/>
      <c r="B69" s="61"/>
    </row>
    <row r="70" spans="1:2">
      <c r="A70" s="392"/>
      <c r="B70" s="61"/>
    </row>
    <row r="71" spans="1:2">
      <c r="A71" s="392"/>
      <c r="B71" s="61"/>
    </row>
    <row r="72" ht="27.75" customHeight="1" spans="1:10">
      <c r="A72" s="393" t="s">
        <v>141</v>
      </c>
      <c r="B72" s="394"/>
      <c r="C72" s="394"/>
      <c r="D72" s="394"/>
      <c r="E72" s="394"/>
      <c r="F72" s="394"/>
      <c r="G72" s="394"/>
      <c r="H72" s="394"/>
      <c r="I72" s="394"/>
      <c r="J72" s="394"/>
    </row>
    <row r="73" spans="1:2">
      <c r="A73" s="61"/>
      <c r="B73" s="61"/>
    </row>
    <row r="74" spans="1:2">
      <c r="A74" s="61"/>
      <c r="B74" s="61"/>
    </row>
    <row r="75" spans="1:2">
      <c r="A75" s="61"/>
      <c r="B75" s="61"/>
    </row>
    <row r="76" spans="1:2">
      <c r="A76" s="61"/>
      <c r="B76" s="61"/>
    </row>
    <row r="77" spans="1:2">
      <c r="A77" s="61"/>
      <c r="B77" s="61"/>
    </row>
    <row r="78" spans="1:2">
      <c r="A78" s="61"/>
      <c r="B78" s="61"/>
    </row>
    <row r="79" spans="1:2">
      <c r="A79" s="61"/>
      <c r="B79" s="61"/>
    </row>
  </sheetData>
  <mergeCells count="12">
    <mergeCell ref="A1:J1"/>
    <mergeCell ref="A2:J2"/>
    <mergeCell ref="A3:J3"/>
    <mergeCell ref="A4:J4"/>
    <mergeCell ref="A6:E6"/>
    <mergeCell ref="A15:E15"/>
    <mergeCell ref="A33:E33"/>
    <mergeCell ref="A43:E43"/>
    <mergeCell ref="A68:H68"/>
    <mergeCell ref="A72:J72"/>
    <mergeCell ref="B66:B67"/>
    <mergeCell ref="J66:J67"/>
  </mergeCells>
  <printOptions horizontalCentered="1" verticalCentered="1"/>
  <pageMargins left="0" right="0" top="0.354330708661417" bottom="0.354330708661417" header="0.31496062992126" footer="0.31496062992126"/>
  <pageSetup paperSize="9" scale="5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K75"/>
  <sheetViews>
    <sheetView showGridLines="0" view="pageBreakPreview" zoomScale="75" zoomScaleNormal="100" workbookViewId="0">
      <pane ySplit="6" topLeftCell="A40" activePane="bottomLeft" state="frozen"/>
      <selection/>
      <selection pane="bottomLeft" activeCell="A3" sqref="A3:I3"/>
    </sheetView>
  </sheetViews>
  <sheetFormatPr defaultColWidth="11" defaultRowHeight="14.4"/>
  <cols>
    <col min="1" max="1" width="7.71296296296296" style="272" customWidth="1"/>
    <col min="2" max="2" width="56.4259259259259" customWidth="1"/>
    <col min="3" max="3" width="10.5740740740741" customWidth="1"/>
    <col min="4" max="4" width="13.712962962963" style="273" customWidth="1"/>
    <col min="5" max="5" width="15.8518518518519" style="274" customWidth="1"/>
    <col min="6" max="9" width="14" style="274" customWidth="1"/>
  </cols>
  <sheetData>
    <row r="1" ht="30" customHeight="1" spans="1:9">
      <c r="A1" s="215" t="s">
        <v>59</v>
      </c>
      <c r="B1" s="215"/>
      <c r="C1" s="215"/>
      <c r="D1" s="215"/>
      <c r="E1" s="215"/>
      <c r="F1" s="215"/>
      <c r="G1" s="215"/>
      <c r="H1" s="215"/>
      <c r="I1" s="215"/>
    </row>
    <row r="2" ht="15" customHeight="1" spans="1:9">
      <c r="A2" s="215" t="s">
        <v>60</v>
      </c>
      <c r="B2" s="215"/>
      <c r="C2" s="215"/>
      <c r="D2" s="215"/>
      <c r="E2" s="215"/>
      <c r="F2" s="215"/>
      <c r="G2" s="215"/>
      <c r="H2" s="215"/>
      <c r="I2" s="215"/>
    </row>
    <row r="3" ht="15" customHeight="1" spans="1:9">
      <c r="A3" s="215" t="s">
        <v>142</v>
      </c>
      <c r="B3" s="215"/>
      <c r="C3" s="215"/>
      <c r="D3" s="215"/>
      <c r="E3" s="215"/>
      <c r="F3" s="215"/>
      <c r="G3" s="215"/>
      <c r="H3" s="215"/>
      <c r="I3" s="215"/>
    </row>
    <row r="4" ht="15" customHeight="1" spans="1:9">
      <c r="A4" s="275" t="s">
        <v>143</v>
      </c>
      <c r="B4" s="275"/>
      <c r="C4" s="275"/>
      <c r="D4" s="275"/>
      <c r="E4" s="275"/>
      <c r="F4" s="275"/>
      <c r="G4" s="275"/>
      <c r="H4" s="275"/>
      <c r="I4" s="275"/>
    </row>
    <row r="5" ht="38.25" customHeight="1" spans="1:9">
      <c r="A5" s="276" t="s">
        <v>63</v>
      </c>
      <c r="B5" s="277" t="s">
        <v>64</v>
      </c>
      <c r="C5" s="278" t="s">
        <v>65</v>
      </c>
      <c r="D5" s="279" t="s">
        <v>66</v>
      </c>
      <c r="E5" s="279" t="s">
        <v>67</v>
      </c>
      <c r="F5" s="280" t="s">
        <v>69</v>
      </c>
      <c r="G5" s="279" t="s">
        <v>70</v>
      </c>
      <c r="H5" s="280" t="s">
        <v>71</v>
      </c>
      <c r="I5" s="280" t="s">
        <v>144</v>
      </c>
    </row>
    <row r="6" ht="33" customHeight="1" spans="1:9">
      <c r="A6" s="281" t="s">
        <v>73</v>
      </c>
      <c r="B6" s="282"/>
      <c r="C6" s="282"/>
      <c r="D6" s="282"/>
      <c r="E6" s="282"/>
      <c r="F6" s="282"/>
      <c r="G6" s="282"/>
      <c r="H6" s="282"/>
      <c r="I6" s="318"/>
    </row>
    <row r="7" ht="28.5" customHeight="1" spans="1:9">
      <c r="A7" s="283">
        <v>1.1</v>
      </c>
      <c r="B7" s="284" t="s">
        <v>74</v>
      </c>
      <c r="C7" s="285"/>
      <c r="D7" s="286"/>
      <c r="E7" s="287"/>
      <c r="F7" s="287"/>
      <c r="G7" s="287"/>
      <c r="H7" s="287"/>
      <c r="I7" s="319"/>
    </row>
    <row r="8" ht="28.5" customHeight="1" spans="1:9">
      <c r="A8" s="283"/>
      <c r="B8" s="288" t="s">
        <v>75</v>
      </c>
      <c r="C8" s="285"/>
      <c r="D8" s="286"/>
      <c r="E8" s="287"/>
      <c r="F8" s="287"/>
      <c r="G8" s="287"/>
      <c r="H8" s="287"/>
      <c r="I8" s="319"/>
    </row>
    <row r="9" ht="28.5" customHeight="1" spans="1:9">
      <c r="A9" s="283" t="s">
        <v>76</v>
      </c>
      <c r="B9" s="289" t="s">
        <v>77</v>
      </c>
      <c r="C9" s="285"/>
      <c r="D9" s="286"/>
      <c r="E9" s="287"/>
      <c r="F9" s="287"/>
      <c r="G9" s="287"/>
      <c r="H9" s="287"/>
      <c r="I9" s="319"/>
    </row>
    <row r="10" ht="28.5" customHeight="1" spans="1:9">
      <c r="A10" s="283"/>
      <c r="B10" s="288" t="s">
        <v>78</v>
      </c>
      <c r="C10" s="285" t="s">
        <v>79</v>
      </c>
      <c r="D10" s="286">
        <v>48</v>
      </c>
      <c r="E10" s="287">
        <v>0</v>
      </c>
      <c r="F10" s="287">
        <v>0</v>
      </c>
      <c r="G10" s="287">
        <v>0</v>
      </c>
      <c r="H10" s="287">
        <v>0</v>
      </c>
      <c r="I10" s="320">
        <v>0</v>
      </c>
    </row>
    <row r="11" ht="28.5" customHeight="1" spans="1:9">
      <c r="A11" s="283" t="s">
        <v>80</v>
      </c>
      <c r="B11" s="289" t="s">
        <v>81</v>
      </c>
      <c r="C11" s="285"/>
      <c r="D11" s="286"/>
      <c r="E11" s="287"/>
      <c r="F11" s="287"/>
      <c r="G11" s="287"/>
      <c r="H11" s="287"/>
      <c r="I11" s="319"/>
    </row>
    <row r="12" ht="28.5" customHeight="1" spans="1:9">
      <c r="A12" s="283"/>
      <c r="B12" s="290" t="s">
        <v>78</v>
      </c>
      <c r="C12" s="285" t="s">
        <v>79</v>
      </c>
      <c r="D12" s="286">
        <v>55</v>
      </c>
      <c r="E12" s="287">
        <f>+'Detail fondation'!H19</f>
        <v>63.14</v>
      </c>
      <c r="F12" s="287">
        <v>0</v>
      </c>
      <c r="G12" s="287">
        <f>+H12-F12</f>
        <v>63.14</v>
      </c>
      <c r="H12" s="287">
        <f>+'Detail fondation'!H19</f>
        <v>63.14</v>
      </c>
      <c r="I12" s="320">
        <f>+H12/E12</f>
        <v>1</v>
      </c>
    </row>
    <row r="13" ht="28.5" customHeight="1" spans="1:9">
      <c r="A13" s="283" t="s">
        <v>82</v>
      </c>
      <c r="B13" s="289" t="s">
        <v>83</v>
      </c>
      <c r="C13" s="285"/>
      <c r="D13" s="286"/>
      <c r="E13" s="287"/>
      <c r="F13" s="287"/>
      <c r="G13" s="287"/>
      <c r="H13" s="287"/>
      <c r="I13" s="319"/>
    </row>
    <row r="14" ht="28.5" customHeight="1" spans="1:9">
      <c r="A14" s="283"/>
      <c r="B14" s="290" t="s">
        <v>78</v>
      </c>
      <c r="C14" s="285" t="s">
        <v>79</v>
      </c>
      <c r="D14" s="286">
        <v>103</v>
      </c>
      <c r="E14" s="287">
        <f>E12-K18</f>
        <v>23.45</v>
      </c>
      <c r="F14" s="291">
        <v>0</v>
      </c>
      <c r="G14" s="291">
        <f>G12-K18</f>
        <v>23.45</v>
      </c>
      <c r="H14" s="291">
        <f>+'Detail fondation'!H24</f>
        <v>23.45</v>
      </c>
      <c r="I14" s="321">
        <f>+H14/E14</f>
        <v>1</v>
      </c>
    </row>
    <row r="15" ht="22.5" customHeight="1" spans="1:9">
      <c r="A15" s="292" t="s">
        <v>84</v>
      </c>
      <c r="B15" s="293"/>
      <c r="C15" s="293"/>
      <c r="D15" s="293"/>
      <c r="E15" s="293"/>
      <c r="F15" s="293"/>
      <c r="G15" s="293"/>
      <c r="H15" s="293"/>
      <c r="I15" s="322"/>
    </row>
    <row r="16" spans="1:9">
      <c r="A16" s="283">
        <v>1.2</v>
      </c>
      <c r="B16" s="290" t="s">
        <v>85</v>
      </c>
      <c r="C16" s="294"/>
      <c r="D16" s="295"/>
      <c r="E16" s="296"/>
      <c r="F16" s="297"/>
      <c r="G16" s="297"/>
      <c r="H16" s="297"/>
      <c r="I16" s="323"/>
    </row>
    <row r="17" spans="1:9">
      <c r="A17" s="283" t="s">
        <v>86</v>
      </c>
      <c r="B17" s="289" t="s">
        <v>87</v>
      </c>
      <c r="C17" s="294"/>
      <c r="D17" s="295"/>
      <c r="E17" s="296"/>
      <c r="F17" s="296"/>
      <c r="G17" s="296"/>
      <c r="H17" s="296"/>
      <c r="I17" s="324"/>
    </row>
    <row r="18" spans="1:11">
      <c r="A18" s="283"/>
      <c r="B18" s="288" t="s">
        <v>78</v>
      </c>
      <c r="C18" s="294" t="s">
        <v>79</v>
      </c>
      <c r="D18" s="286">
        <v>1</v>
      </c>
      <c r="E18" s="287">
        <f>+'Detail fondation'!H31</f>
        <v>5.75</v>
      </c>
      <c r="F18" s="287">
        <v>0</v>
      </c>
      <c r="G18" s="287">
        <f>+E18</f>
        <v>5.75</v>
      </c>
      <c r="H18" s="287">
        <f>+F18+G18</f>
        <v>5.75</v>
      </c>
      <c r="I18" s="320">
        <f>+H18/E18</f>
        <v>1</v>
      </c>
      <c r="K18" s="325">
        <f>G18+G20+G22+G24+G26+G32</f>
        <v>39.69</v>
      </c>
    </row>
    <row r="19" spans="1:9">
      <c r="A19" s="283" t="s">
        <v>88</v>
      </c>
      <c r="B19" s="289" t="s">
        <v>89</v>
      </c>
      <c r="C19" s="294"/>
      <c r="D19" s="295"/>
      <c r="E19" s="296"/>
      <c r="F19" s="296"/>
      <c r="G19" s="296"/>
      <c r="H19" s="296"/>
      <c r="I19" s="324"/>
    </row>
    <row r="20" spans="1:9">
      <c r="A20" s="283"/>
      <c r="B20" s="288" t="s">
        <v>78</v>
      </c>
      <c r="C20" s="294" t="s">
        <v>79</v>
      </c>
      <c r="D20" s="286">
        <v>5</v>
      </c>
      <c r="E20" s="287">
        <f>+'Detail fondation'!H40</f>
        <v>1.06</v>
      </c>
      <c r="F20" s="287">
        <v>0</v>
      </c>
      <c r="G20" s="287">
        <f>+E20</f>
        <v>1.06</v>
      </c>
      <c r="H20" s="287">
        <f>+F20+G20</f>
        <v>1.06</v>
      </c>
      <c r="I20" s="320">
        <f>+H20/E20</f>
        <v>1</v>
      </c>
    </row>
    <row r="21" spans="1:9">
      <c r="A21" s="283" t="s">
        <v>90</v>
      </c>
      <c r="B21" s="289" t="s">
        <v>91</v>
      </c>
      <c r="C21" s="294"/>
      <c r="D21" s="295"/>
      <c r="E21" s="296"/>
      <c r="F21" s="296"/>
      <c r="G21" s="296"/>
      <c r="H21" s="296"/>
      <c r="I21" s="324"/>
    </row>
    <row r="22" spans="1:9">
      <c r="A22" s="283"/>
      <c r="B22" s="288" t="s">
        <v>78</v>
      </c>
      <c r="C22" s="294" t="s">
        <v>79</v>
      </c>
      <c r="D22" s="286">
        <v>2</v>
      </c>
      <c r="E22" s="287">
        <f>+'Detail fondation'!H66</f>
        <v>1.27</v>
      </c>
      <c r="F22" s="287">
        <v>0</v>
      </c>
      <c r="G22" s="287">
        <f>+E22</f>
        <v>1.27</v>
      </c>
      <c r="H22" s="287">
        <f>+F22+G22</f>
        <v>1.27</v>
      </c>
      <c r="I22" s="320">
        <f>+H22/E22</f>
        <v>1</v>
      </c>
    </row>
    <row r="23" spans="1:9">
      <c r="A23" s="283" t="s">
        <v>92</v>
      </c>
      <c r="B23" s="289" t="s">
        <v>93</v>
      </c>
      <c r="C23" s="294"/>
      <c r="D23" s="295"/>
      <c r="E23" s="296"/>
      <c r="F23" s="296"/>
      <c r="G23" s="296"/>
      <c r="H23" s="296"/>
      <c r="I23" s="324"/>
    </row>
    <row r="24" spans="1:9">
      <c r="A24" s="283"/>
      <c r="B24" s="288" t="s">
        <v>78</v>
      </c>
      <c r="C24" s="294" t="s">
        <v>79</v>
      </c>
      <c r="D24" s="286">
        <v>9</v>
      </c>
      <c r="E24" s="287">
        <f>'Detail fondation'!H49</f>
        <v>7.85</v>
      </c>
      <c r="F24" s="287">
        <v>0</v>
      </c>
      <c r="G24" s="287">
        <f>'Detail fondation'!H49</f>
        <v>7.85</v>
      </c>
      <c r="H24" s="287">
        <f>+F24+G24</f>
        <v>7.85</v>
      </c>
      <c r="I24" s="320">
        <f>+H24/E24</f>
        <v>1</v>
      </c>
    </row>
    <row r="25" spans="1:9">
      <c r="A25" s="283" t="s">
        <v>94</v>
      </c>
      <c r="B25" s="289" t="s">
        <v>95</v>
      </c>
      <c r="C25" s="294"/>
      <c r="D25" s="295"/>
      <c r="E25" s="296"/>
      <c r="F25" s="296"/>
      <c r="G25" s="296"/>
      <c r="H25" s="296"/>
      <c r="I25" s="324"/>
    </row>
    <row r="26" spans="1:9">
      <c r="A26" s="283"/>
      <c r="B26" s="288" t="s">
        <v>78</v>
      </c>
      <c r="C26" s="294" t="s">
        <v>79</v>
      </c>
      <c r="D26" s="286">
        <v>7</v>
      </c>
      <c r="E26" s="287">
        <f>SUM('Detail fondation'!G51:G52)</f>
        <v>6.28</v>
      </c>
      <c r="F26" s="287">
        <v>0</v>
      </c>
      <c r="G26" s="287">
        <f>+E26</f>
        <v>6.28</v>
      </c>
      <c r="H26" s="287">
        <f>+F26+G26</f>
        <v>6.28</v>
      </c>
      <c r="I26" s="320">
        <f>+H26/E26</f>
        <v>1</v>
      </c>
    </row>
    <row r="27" spans="1:9">
      <c r="A27" s="283" t="s">
        <v>96</v>
      </c>
      <c r="B27" s="298" t="s">
        <v>97</v>
      </c>
      <c r="C27" s="294"/>
      <c r="D27" s="295"/>
      <c r="E27" s="296"/>
      <c r="F27" s="296"/>
      <c r="G27" s="296"/>
      <c r="H27" s="296"/>
      <c r="I27" s="324"/>
    </row>
    <row r="28" spans="1:9">
      <c r="A28" s="283"/>
      <c r="B28" s="288" t="s">
        <v>98</v>
      </c>
      <c r="C28" s="294" t="s">
        <v>99</v>
      </c>
      <c r="D28" s="286">
        <v>1416</v>
      </c>
      <c r="E28" s="287">
        <f>+'Poteaux Fond'!T14+'Fondations Acier'!T16</f>
        <v>1547.168565</v>
      </c>
      <c r="F28" s="287">
        <v>0</v>
      </c>
      <c r="G28" s="287">
        <f>+E28</f>
        <v>1547.168565</v>
      </c>
      <c r="H28" s="287">
        <f>+F28+G28</f>
        <v>1547.168565</v>
      </c>
      <c r="I28" s="320">
        <f>+H28/E28</f>
        <v>1</v>
      </c>
    </row>
    <row r="29" spans="1:9">
      <c r="A29" s="283" t="s">
        <v>100</v>
      </c>
      <c r="B29" s="298" t="s">
        <v>101</v>
      </c>
      <c r="C29" s="294"/>
      <c r="D29" s="295"/>
      <c r="E29" s="296"/>
      <c r="F29" s="296"/>
      <c r="G29" s="296"/>
      <c r="H29" s="296"/>
      <c r="I29" s="324"/>
    </row>
    <row r="30" spans="1:9">
      <c r="A30" s="283"/>
      <c r="B30" s="288" t="s">
        <v>98</v>
      </c>
      <c r="C30" s="294" t="s">
        <v>102</v>
      </c>
      <c r="D30" s="286">
        <v>27</v>
      </c>
      <c r="E30" s="287">
        <f>+'Detail fondation'!H82</f>
        <v>17.96</v>
      </c>
      <c r="F30" s="287">
        <v>0</v>
      </c>
      <c r="G30" s="287">
        <f>+E30</f>
        <v>17.96</v>
      </c>
      <c r="H30" s="287">
        <f>+F30+G30</f>
        <v>17.96</v>
      </c>
      <c r="I30" s="320">
        <f>+H30/E30</f>
        <v>1</v>
      </c>
    </row>
    <row r="31" spans="1:9">
      <c r="A31" s="283" t="s">
        <v>103</v>
      </c>
      <c r="B31" s="298" t="s">
        <v>104</v>
      </c>
      <c r="C31" s="294"/>
      <c r="D31" s="295"/>
      <c r="E31" s="296"/>
      <c r="F31" s="296"/>
      <c r="G31" s="296"/>
      <c r="H31" s="296"/>
      <c r="I31" s="324"/>
    </row>
    <row r="32" ht="15.15" spans="1:9">
      <c r="A32" s="283"/>
      <c r="B32" s="288" t="s">
        <v>98</v>
      </c>
      <c r="C32" s="294" t="s">
        <v>79</v>
      </c>
      <c r="D32" s="286">
        <v>18</v>
      </c>
      <c r="E32" s="287">
        <f>+'Detail fondation'!H71</f>
        <v>17.48</v>
      </c>
      <c r="F32" s="291">
        <v>0</v>
      </c>
      <c r="G32" s="291">
        <f>+E32</f>
        <v>17.48</v>
      </c>
      <c r="H32" s="291">
        <f>+F32+G32</f>
        <v>17.48</v>
      </c>
      <c r="I32" s="321">
        <f>+H32/E32</f>
        <v>1</v>
      </c>
    </row>
    <row r="33" ht="22.5" customHeight="1" spans="1:9">
      <c r="A33" s="292" t="s">
        <v>105</v>
      </c>
      <c r="B33" s="293"/>
      <c r="C33" s="293"/>
      <c r="D33" s="293"/>
      <c r="E33" s="293"/>
      <c r="F33" s="293"/>
      <c r="G33" s="293"/>
      <c r="H33" s="293"/>
      <c r="I33" s="326"/>
    </row>
    <row r="34" ht="21.75" customHeight="1" spans="1:9">
      <c r="A34" s="283">
        <v>1.3</v>
      </c>
      <c r="B34" s="290" t="s">
        <v>106</v>
      </c>
      <c r="C34" s="294"/>
      <c r="D34" s="299"/>
      <c r="E34" s="287"/>
      <c r="F34" s="300"/>
      <c r="G34" s="300"/>
      <c r="H34" s="301"/>
      <c r="I34" s="327"/>
    </row>
    <row r="35" spans="1:9">
      <c r="A35" s="283" t="s">
        <v>107</v>
      </c>
      <c r="B35" s="302" t="s">
        <v>108</v>
      </c>
      <c r="C35" s="294"/>
      <c r="D35" s="299"/>
      <c r="E35" s="287"/>
      <c r="F35" s="303"/>
      <c r="G35" s="304"/>
      <c r="H35" s="305"/>
      <c r="I35" s="320"/>
    </row>
    <row r="36" spans="1:9">
      <c r="A36" s="283"/>
      <c r="B36" s="288" t="s">
        <v>109</v>
      </c>
      <c r="C36" s="294" t="s">
        <v>65</v>
      </c>
      <c r="D36" s="299">
        <v>2</v>
      </c>
      <c r="E36" s="287">
        <v>7</v>
      </c>
      <c r="F36" s="303">
        <v>0</v>
      </c>
      <c r="G36" s="304">
        <v>7</v>
      </c>
      <c r="H36" s="305">
        <f>+G36+F36</f>
        <v>7</v>
      </c>
      <c r="I36" s="320">
        <f>+H36/E36</f>
        <v>1</v>
      </c>
    </row>
    <row r="37" spans="1:9">
      <c r="A37" s="283" t="s">
        <v>110</v>
      </c>
      <c r="B37" s="302" t="s">
        <v>111</v>
      </c>
      <c r="C37" s="294"/>
      <c r="D37" s="299"/>
      <c r="E37" s="287"/>
      <c r="F37" s="303"/>
      <c r="G37" s="304"/>
      <c r="H37" s="305"/>
      <c r="I37" s="320"/>
    </row>
    <row r="38" spans="1:9">
      <c r="A38" s="283"/>
      <c r="B38" s="288" t="s">
        <v>109</v>
      </c>
      <c r="C38" s="294" t="s">
        <v>65</v>
      </c>
      <c r="D38" s="299">
        <v>4</v>
      </c>
      <c r="E38" s="287">
        <v>0</v>
      </c>
      <c r="F38" s="303">
        <v>0</v>
      </c>
      <c r="G38" s="304">
        <v>0</v>
      </c>
      <c r="H38" s="305">
        <f>+G38+F38</f>
        <v>0</v>
      </c>
      <c r="I38" s="320">
        <v>0</v>
      </c>
    </row>
    <row r="39" spans="1:9">
      <c r="A39" s="283" t="s">
        <v>112</v>
      </c>
      <c r="B39" s="298" t="s">
        <v>113</v>
      </c>
      <c r="C39" s="294"/>
      <c r="D39" s="299"/>
      <c r="E39" s="287"/>
      <c r="F39" s="303"/>
      <c r="G39" s="304"/>
      <c r="H39" s="305"/>
      <c r="I39" s="328"/>
    </row>
    <row r="40" spans="1:9">
      <c r="A40" s="283"/>
      <c r="B40" s="288" t="s">
        <v>109</v>
      </c>
      <c r="C40" s="294" t="s">
        <v>65</v>
      </c>
      <c r="D40" s="299">
        <v>2</v>
      </c>
      <c r="E40" s="287">
        <v>8</v>
      </c>
      <c r="F40" s="303">
        <v>0</v>
      </c>
      <c r="G40" s="304">
        <v>8</v>
      </c>
      <c r="H40" s="305">
        <f>+G40+F40</f>
        <v>8</v>
      </c>
      <c r="I40" s="320">
        <f>+H40/E40</f>
        <v>1</v>
      </c>
    </row>
    <row r="41" spans="1:9">
      <c r="A41" s="283" t="s">
        <v>114</v>
      </c>
      <c r="B41" s="298" t="s">
        <v>115</v>
      </c>
      <c r="C41" s="294"/>
      <c r="D41" s="299"/>
      <c r="E41" s="287"/>
      <c r="F41" s="303"/>
      <c r="G41" s="304"/>
      <c r="H41" s="305"/>
      <c r="I41" s="319"/>
    </row>
    <row r="42" ht="15.15" spans="1:9">
      <c r="A42" s="283"/>
      <c r="B42" s="288" t="s">
        <v>116</v>
      </c>
      <c r="C42" s="294" t="s">
        <v>117</v>
      </c>
      <c r="D42" s="299">
        <v>34</v>
      </c>
      <c r="E42" s="287">
        <v>82</v>
      </c>
      <c r="F42" s="303">
        <v>0</v>
      </c>
      <c r="G42" s="304">
        <f>+'Detail fondation'!H78</f>
        <v>23</v>
      </c>
      <c r="H42" s="305">
        <f>+G42+F42</f>
        <v>23</v>
      </c>
      <c r="I42" s="320">
        <f>+H42/E42</f>
        <v>0.280487804878049</v>
      </c>
    </row>
    <row r="43" ht="22.5" customHeight="1" spans="1:9">
      <c r="A43" s="292" t="s">
        <v>118</v>
      </c>
      <c r="B43" s="293"/>
      <c r="C43" s="293"/>
      <c r="D43" s="293"/>
      <c r="E43" s="293"/>
      <c r="F43" s="293"/>
      <c r="G43" s="293"/>
      <c r="H43" s="293"/>
      <c r="I43" s="326"/>
    </row>
    <row r="44" spans="1:9">
      <c r="A44" s="283">
        <v>1.4</v>
      </c>
      <c r="B44" s="290" t="s">
        <v>119</v>
      </c>
      <c r="C44" s="294"/>
      <c r="D44" s="306"/>
      <c r="E44" s="305"/>
      <c r="F44" s="304"/>
      <c r="G44" s="304"/>
      <c r="H44" s="303"/>
      <c r="I44" s="319"/>
    </row>
    <row r="45" spans="1:9">
      <c r="A45" s="283" t="s">
        <v>120</v>
      </c>
      <c r="B45" s="289" t="s">
        <v>121</v>
      </c>
      <c r="C45" s="294"/>
      <c r="D45" s="306"/>
      <c r="E45" s="305"/>
      <c r="F45" s="304"/>
      <c r="G45" s="304"/>
      <c r="H45" s="303"/>
      <c r="I45" s="319"/>
    </row>
    <row r="46" spans="1:9">
      <c r="A46" s="283"/>
      <c r="B46" s="288" t="s">
        <v>98</v>
      </c>
      <c r="C46" s="294" t="s">
        <v>102</v>
      </c>
      <c r="D46" s="286">
        <v>114</v>
      </c>
      <c r="E46" s="287">
        <f>+'Detail fondation'!H89</f>
        <v>113.42</v>
      </c>
      <c r="F46" s="304">
        <v>0</v>
      </c>
      <c r="G46" s="304">
        <f>+E46</f>
        <v>113.42</v>
      </c>
      <c r="H46" s="303">
        <f>+G46+F46</f>
        <v>113.42</v>
      </c>
      <c r="I46" s="320">
        <f>+H46/E46</f>
        <v>1</v>
      </c>
    </row>
    <row r="47" spans="1:9">
      <c r="A47" s="283" t="s">
        <v>122</v>
      </c>
      <c r="B47" s="289" t="s">
        <v>123</v>
      </c>
      <c r="C47" s="294"/>
      <c r="D47" s="306"/>
      <c r="E47" s="287"/>
      <c r="F47" s="304"/>
      <c r="G47" s="304"/>
      <c r="H47" s="303"/>
      <c r="I47" s="319"/>
    </row>
    <row r="48" ht="15.15" spans="1:9">
      <c r="A48" s="283"/>
      <c r="B48" s="288" t="s">
        <v>98</v>
      </c>
      <c r="C48" s="294" t="s">
        <v>102</v>
      </c>
      <c r="D48" s="286">
        <v>114</v>
      </c>
      <c r="E48" s="287">
        <f>+'Detail fondation'!H92</f>
        <v>113.42</v>
      </c>
      <c r="F48" s="307">
        <v>0</v>
      </c>
      <c r="G48" s="307">
        <f>+E48</f>
        <v>113.42</v>
      </c>
      <c r="H48" s="308">
        <f>+G48+F48</f>
        <v>113.42</v>
      </c>
      <c r="I48" s="321">
        <f>+H48/E48</f>
        <v>1</v>
      </c>
    </row>
    <row r="49" ht="22.5" customHeight="1" spans="1:9">
      <c r="A49" s="292" t="s">
        <v>145</v>
      </c>
      <c r="B49" s="293"/>
      <c r="C49" s="293"/>
      <c r="D49" s="293"/>
      <c r="E49" s="293"/>
      <c r="F49" s="293"/>
      <c r="G49" s="293"/>
      <c r="H49" s="293"/>
      <c r="I49" s="326"/>
    </row>
    <row r="50" spans="1:9">
      <c r="A50" s="309"/>
      <c r="B50" s="310" t="s">
        <v>146</v>
      </c>
      <c r="C50" s="185"/>
      <c r="D50" s="311"/>
      <c r="E50" s="312"/>
      <c r="F50" s="312"/>
      <c r="G50" s="312"/>
      <c r="H50" s="312"/>
      <c r="I50" s="329"/>
    </row>
    <row r="51" spans="1:9">
      <c r="A51" s="313"/>
      <c r="B51" s="314"/>
      <c r="C51" s="315"/>
      <c r="D51" s="316"/>
      <c r="E51" s="312"/>
      <c r="F51" s="312"/>
      <c r="G51" s="312"/>
      <c r="H51" s="312"/>
      <c r="I51" s="329"/>
    </row>
    <row r="52" spans="1:9">
      <c r="A52" s="283">
        <v>1.5</v>
      </c>
      <c r="B52" s="290" t="s">
        <v>147</v>
      </c>
      <c r="C52" s="294"/>
      <c r="D52" s="295"/>
      <c r="E52" s="317"/>
      <c r="F52" s="297"/>
      <c r="G52" s="297"/>
      <c r="H52" s="297"/>
      <c r="I52" s="323"/>
    </row>
    <row r="53" spans="1:9">
      <c r="A53" s="283" t="s">
        <v>126</v>
      </c>
      <c r="B53" s="289" t="s">
        <v>127</v>
      </c>
      <c r="C53" s="294"/>
      <c r="D53" s="295"/>
      <c r="E53" s="296"/>
      <c r="F53" s="296"/>
      <c r="G53" s="296"/>
      <c r="H53" s="296"/>
      <c r="I53" s="324"/>
    </row>
    <row r="54" spans="1:9">
      <c r="A54" s="283"/>
      <c r="B54" s="288" t="s">
        <v>78</v>
      </c>
      <c r="C54" s="294" t="s">
        <v>79</v>
      </c>
      <c r="D54" s="286">
        <v>11</v>
      </c>
      <c r="E54" s="287">
        <f>'Detail fondation'!H107</f>
        <v>13.83832</v>
      </c>
      <c r="F54" s="287">
        <v>0</v>
      </c>
      <c r="G54" s="287">
        <f>'Detail fondation'!H107</f>
        <v>13.83832</v>
      </c>
      <c r="H54" s="287">
        <f>+F54+G54</f>
        <v>13.83832</v>
      </c>
      <c r="I54" s="320">
        <f>+H54/E54</f>
        <v>1</v>
      </c>
    </row>
    <row r="55" spans="1:9">
      <c r="A55" s="283" t="s">
        <v>128</v>
      </c>
      <c r="B55" s="289" t="s">
        <v>129</v>
      </c>
      <c r="C55" s="294"/>
      <c r="D55" s="286">
        <v>0</v>
      </c>
      <c r="E55" s="287"/>
      <c r="F55" s="296"/>
      <c r="G55" s="287"/>
      <c r="H55" s="296"/>
      <c r="I55" s="324"/>
    </row>
    <row r="56" spans="1:9">
      <c r="A56" s="283"/>
      <c r="B56" s="288" t="s">
        <v>78</v>
      </c>
      <c r="C56" s="294" t="s">
        <v>79</v>
      </c>
      <c r="D56" s="286">
        <v>17</v>
      </c>
      <c r="E56" s="287">
        <f>'Detail fondation'!H128</f>
        <v>20.985</v>
      </c>
      <c r="F56" s="287">
        <v>0</v>
      </c>
      <c r="G56" s="287">
        <f>'Detail fondation'!H128</f>
        <v>20.985</v>
      </c>
      <c r="H56" s="287">
        <f>+F56+G56</f>
        <v>20.985</v>
      </c>
      <c r="I56" s="320">
        <f>+H56/E56</f>
        <v>1</v>
      </c>
    </row>
    <row r="57" spans="1:9">
      <c r="A57" s="283" t="s">
        <v>130</v>
      </c>
      <c r="B57" s="289" t="s">
        <v>131</v>
      </c>
      <c r="C57" s="294"/>
      <c r="D57" s="286">
        <v>0</v>
      </c>
      <c r="E57" s="287"/>
      <c r="F57" s="296"/>
      <c r="G57" s="287"/>
      <c r="H57" s="296"/>
      <c r="I57" s="324"/>
    </row>
    <row r="58" spans="1:9">
      <c r="A58" s="283"/>
      <c r="B58" s="288" t="s">
        <v>78</v>
      </c>
      <c r="C58" s="294" t="s">
        <v>79</v>
      </c>
      <c r="D58" s="286">
        <v>9</v>
      </c>
      <c r="E58" s="287">
        <f>+'Detail fondation'!H132</f>
        <v>10.099056</v>
      </c>
      <c r="F58" s="287">
        <v>0</v>
      </c>
      <c r="G58" s="287">
        <f t="shared" ref="G58:G66" si="0">+E58</f>
        <v>10.099056</v>
      </c>
      <c r="H58" s="287">
        <f>+F58+G58</f>
        <v>10.099056</v>
      </c>
      <c r="I58" s="320">
        <f>+H58/E58</f>
        <v>1</v>
      </c>
    </row>
    <row r="59" spans="1:9">
      <c r="A59" s="283" t="s">
        <v>132</v>
      </c>
      <c r="B59" s="289" t="s">
        <v>133</v>
      </c>
      <c r="C59" s="294"/>
      <c r="D59" s="286">
        <v>0</v>
      </c>
      <c r="E59" s="287"/>
      <c r="F59" s="296"/>
      <c r="G59" s="287"/>
      <c r="H59" s="296"/>
      <c r="I59" s="324"/>
    </row>
    <row r="60" spans="1:9">
      <c r="A60" s="283"/>
      <c r="B60" s="288" t="s">
        <v>78</v>
      </c>
      <c r="C60" s="294" t="s">
        <v>79</v>
      </c>
      <c r="D60" s="286">
        <v>3</v>
      </c>
      <c r="E60" s="287">
        <f>+'Detail fondation'!H137</f>
        <v>1.555</v>
      </c>
      <c r="F60" s="287">
        <v>0</v>
      </c>
      <c r="G60" s="287">
        <f t="shared" si="0"/>
        <v>1.555</v>
      </c>
      <c r="H60" s="287">
        <f>+F60+G60</f>
        <v>1.555</v>
      </c>
      <c r="I60" s="320">
        <f>+H60/E60</f>
        <v>1</v>
      </c>
    </row>
    <row r="61" spans="1:9">
      <c r="A61" s="283" t="s">
        <v>134</v>
      </c>
      <c r="B61" s="298" t="s">
        <v>135</v>
      </c>
      <c r="C61" s="294"/>
      <c r="D61" s="286">
        <v>0</v>
      </c>
      <c r="E61" s="287"/>
      <c r="F61" s="296"/>
      <c r="G61" s="287"/>
      <c r="H61" s="296"/>
      <c r="I61" s="324"/>
    </row>
    <row r="62" spans="1:9">
      <c r="A62" s="283"/>
      <c r="B62" s="288" t="s">
        <v>78</v>
      </c>
      <c r="C62" s="294" t="s">
        <v>79</v>
      </c>
      <c r="D62" s="286">
        <v>5</v>
      </c>
      <c r="E62" s="287">
        <f>+'Detail fondation'!H142</f>
        <v>2.73416</v>
      </c>
      <c r="F62" s="287">
        <v>0</v>
      </c>
      <c r="G62" s="287">
        <f t="shared" si="0"/>
        <v>2.73416</v>
      </c>
      <c r="H62" s="287">
        <f>+F62+G62</f>
        <v>2.73416</v>
      </c>
      <c r="I62" s="320">
        <f>+H62/E62</f>
        <v>1</v>
      </c>
    </row>
    <row r="63" spans="1:9">
      <c r="A63" s="283" t="s">
        <v>136</v>
      </c>
      <c r="B63" s="298" t="s">
        <v>97</v>
      </c>
      <c r="C63" s="294"/>
      <c r="D63" s="286">
        <v>0</v>
      </c>
      <c r="E63" s="287"/>
      <c r="F63" s="296"/>
      <c r="G63" s="287"/>
      <c r="H63" s="296"/>
      <c r="I63" s="324"/>
    </row>
    <row r="64" spans="1:9">
      <c r="A64" s="283"/>
      <c r="B64" s="288" t="s">
        <v>98</v>
      </c>
      <c r="C64" s="294" t="s">
        <v>99</v>
      </c>
      <c r="D64" s="286">
        <v>3032</v>
      </c>
      <c r="E64" s="287">
        <f>+'Poteaux rdc'!T12</f>
        <v>5183.34882</v>
      </c>
      <c r="F64" s="287">
        <v>0</v>
      </c>
      <c r="G64" s="287">
        <f>+E64</f>
        <v>5183.34882</v>
      </c>
      <c r="H64" s="287">
        <f>+F64+G64</f>
        <v>5183.34882</v>
      </c>
      <c r="I64" s="320">
        <f>+H64/E64</f>
        <v>1</v>
      </c>
    </row>
    <row r="65" spans="1:9">
      <c r="A65" s="283" t="s">
        <v>137</v>
      </c>
      <c r="B65" s="298" t="s">
        <v>138</v>
      </c>
      <c r="C65" s="294"/>
      <c r="D65" s="286">
        <v>0</v>
      </c>
      <c r="E65" s="287"/>
      <c r="F65" s="296"/>
      <c r="G65" s="287"/>
      <c r="H65" s="296"/>
      <c r="I65" s="324"/>
    </row>
    <row r="66" ht="15.15" spans="1:9">
      <c r="A66" s="330"/>
      <c r="B66" s="331" t="s">
        <v>98</v>
      </c>
      <c r="C66" s="332" t="s">
        <v>148</v>
      </c>
      <c r="D66" s="333">
        <v>197</v>
      </c>
      <c r="E66" s="334">
        <f>+'Detail fondation'!H156</f>
        <v>196.51</v>
      </c>
      <c r="F66" s="334">
        <v>0</v>
      </c>
      <c r="G66" s="334">
        <f t="shared" si="0"/>
        <v>196.51</v>
      </c>
      <c r="H66" s="334">
        <f>+F66+G66</f>
        <v>196.51</v>
      </c>
      <c r="I66" s="340">
        <f>+H66/E66</f>
        <v>1</v>
      </c>
    </row>
    <row r="67" spans="1:9">
      <c r="A67" s="335"/>
      <c r="B67" s="88"/>
      <c r="C67" s="88"/>
      <c r="D67" s="336"/>
      <c r="E67" s="312"/>
      <c r="F67" s="312"/>
      <c r="G67" s="312"/>
      <c r="H67" s="312"/>
      <c r="I67" s="312"/>
    </row>
    <row r="68" spans="1:10">
      <c r="A68" s="335"/>
      <c r="B68" s="88"/>
      <c r="C68" s="88"/>
      <c r="D68" s="336"/>
      <c r="E68" s="312"/>
      <c r="F68" s="312"/>
      <c r="G68" s="312"/>
      <c r="H68" s="312"/>
      <c r="I68" s="312"/>
      <c r="J68" s="61"/>
    </row>
    <row r="69" spans="1:10">
      <c r="A69" s="61"/>
      <c r="B69" s="61"/>
      <c r="C69" s="61"/>
      <c r="D69" s="337"/>
      <c r="E69" s="338"/>
      <c r="F69" s="338"/>
      <c r="G69" s="338"/>
      <c r="H69" s="338"/>
      <c r="I69" s="338"/>
      <c r="J69" s="61"/>
    </row>
    <row r="70" ht="27.75" customHeight="1" spans="1:10">
      <c r="A70" s="339" t="s">
        <v>141</v>
      </c>
      <c r="B70" s="339"/>
      <c r="C70" s="339"/>
      <c r="D70" s="339"/>
      <c r="E70" s="339"/>
      <c r="F70" s="339"/>
      <c r="G70" s="339"/>
      <c r="H70" s="339"/>
      <c r="I70" s="339"/>
      <c r="J70" s="341"/>
    </row>
    <row r="71" spans="1:10">
      <c r="A71" s="61"/>
      <c r="B71" s="61"/>
      <c r="C71" s="61"/>
      <c r="D71" s="337"/>
      <c r="E71" s="338"/>
      <c r="F71" s="338"/>
      <c r="G71" s="338"/>
      <c r="H71" s="338"/>
      <c r="I71" s="338"/>
      <c r="J71" s="61"/>
    </row>
    <row r="72" spans="1:10">
      <c r="A72" s="61"/>
      <c r="B72" s="61"/>
      <c r="C72" s="61"/>
      <c r="D72" s="337"/>
      <c r="E72" s="338"/>
      <c r="F72" s="338"/>
      <c r="G72" s="338"/>
      <c r="H72" s="338"/>
      <c r="I72" s="338"/>
      <c r="J72" s="61"/>
    </row>
    <row r="73" spans="1:10">
      <c r="A73" s="61"/>
      <c r="B73" s="61"/>
      <c r="C73" s="61"/>
      <c r="D73" s="337"/>
      <c r="E73" s="338"/>
      <c r="F73" s="338"/>
      <c r="G73" s="338"/>
      <c r="H73" s="338"/>
      <c r="I73" s="338"/>
      <c r="J73" s="61"/>
    </row>
    <row r="74" spans="1:2">
      <c r="A74" s="61"/>
      <c r="B74" s="61"/>
    </row>
    <row r="75" spans="1:2">
      <c r="A75" s="61"/>
      <c r="B75" s="61"/>
    </row>
  </sheetData>
  <mergeCells count="11">
    <mergeCell ref="A1:I1"/>
    <mergeCell ref="A2:I2"/>
    <mergeCell ref="A3:I3"/>
    <mergeCell ref="A4:I4"/>
    <mergeCell ref="A6:E6"/>
    <mergeCell ref="A15:E15"/>
    <mergeCell ref="A33:E33"/>
    <mergeCell ref="A43:E43"/>
    <mergeCell ref="A49:E49"/>
    <mergeCell ref="A70:I70"/>
    <mergeCell ref="B50:B51"/>
  </mergeCells>
  <printOptions horizontalCentered="1" verticalCentered="1"/>
  <pageMargins left="0" right="0" top="0.551181102362205" bottom="0.551181102362205" header="0.31496062992126" footer="0.31496062992126"/>
  <pageSetup paperSize="9" scale="5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8"/>
  <sheetViews>
    <sheetView view="pageBreakPreview" zoomScale="70" zoomScaleNormal="100" workbookViewId="0">
      <pane ySplit="6" topLeftCell="A30" activePane="bottomLeft" state="frozen"/>
      <selection/>
      <selection pane="bottomLeft" activeCell="A45" sqref="A45"/>
    </sheetView>
  </sheetViews>
  <sheetFormatPr defaultColWidth="11" defaultRowHeight="15.6"/>
  <cols>
    <col min="1" max="1" width="69.8518518518518" style="208" customWidth="1"/>
    <col min="2" max="2" width="5.42592592592593" style="209" customWidth="1"/>
    <col min="3" max="4" width="9.42592592592593" style="209" customWidth="1"/>
    <col min="5" max="5" width="8.28703703703704" style="210" customWidth="1"/>
    <col min="6" max="6" width="15.4259259259259" style="211" customWidth="1"/>
    <col min="7" max="7" width="13.712962962963" style="212" customWidth="1"/>
    <col min="8" max="8" width="13.712962962963" style="213" customWidth="1"/>
    <col min="9" max="9" width="4.42592592592593" style="214" customWidth="1"/>
    <col min="10" max="10" width="11.4259259259259" style="208"/>
    <col min="11" max="11" width="13.1388888888889" style="208" customWidth="1"/>
    <col min="12" max="12" width="11.4259259259259" style="208"/>
    <col min="13" max="13" width="8.42592592592593" style="208" customWidth="1"/>
    <col min="14" max="14" width="9" style="208" customWidth="1"/>
    <col min="15" max="255" width="11.4259259259259" style="208"/>
    <col min="256" max="256" width="4.57407407407407" style="208" customWidth="1"/>
    <col min="257" max="257" width="47.287037037037" style="208" customWidth="1"/>
    <col min="258" max="258" width="5" style="208" customWidth="1"/>
    <col min="259" max="260" width="9.42592592592593" style="208" customWidth="1"/>
    <col min="261" max="261" width="8.28703703703704" style="208" customWidth="1"/>
    <col min="262" max="262" width="22.5740740740741" style="208" customWidth="1"/>
    <col min="263" max="263" width="13.712962962963" style="208" customWidth="1"/>
    <col min="264" max="264" width="21.1388888888889" style="208" customWidth="1"/>
    <col min="265" max="265" width="4.42592592592593" style="208" customWidth="1"/>
    <col min="266" max="511" width="11.4259259259259" style="208"/>
    <col min="512" max="512" width="4.57407407407407" style="208" customWidth="1"/>
    <col min="513" max="513" width="47.287037037037" style="208" customWidth="1"/>
    <col min="514" max="514" width="5" style="208" customWidth="1"/>
    <col min="515" max="516" width="9.42592592592593" style="208" customWidth="1"/>
    <col min="517" max="517" width="8.28703703703704" style="208" customWidth="1"/>
    <col min="518" max="518" width="22.5740740740741" style="208" customWidth="1"/>
    <col min="519" max="519" width="13.712962962963" style="208" customWidth="1"/>
    <col min="520" max="520" width="21.1388888888889" style="208" customWidth="1"/>
    <col min="521" max="521" width="4.42592592592593" style="208" customWidth="1"/>
    <col min="522" max="767" width="11.4259259259259" style="208"/>
    <col min="768" max="768" width="4.57407407407407" style="208" customWidth="1"/>
    <col min="769" max="769" width="47.287037037037" style="208" customWidth="1"/>
    <col min="770" max="770" width="5" style="208" customWidth="1"/>
    <col min="771" max="772" width="9.42592592592593" style="208" customWidth="1"/>
    <col min="773" max="773" width="8.28703703703704" style="208" customWidth="1"/>
    <col min="774" max="774" width="22.5740740740741" style="208" customWidth="1"/>
    <col min="775" max="775" width="13.712962962963" style="208" customWidth="1"/>
    <col min="776" max="776" width="21.1388888888889" style="208" customWidth="1"/>
    <col min="777" max="777" width="4.42592592592593" style="208" customWidth="1"/>
    <col min="778" max="1023" width="11.4259259259259" style="208"/>
    <col min="1024" max="1024" width="4.57407407407407" style="208" customWidth="1"/>
    <col min="1025" max="1025" width="47.287037037037" style="208" customWidth="1"/>
    <col min="1026" max="1026" width="5" style="208" customWidth="1"/>
    <col min="1027" max="1028" width="9.42592592592593" style="208" customWidth="1"/>
    <col min="1029" max="1029" width="8.28703703703704" style="208" customWidth="1"/>
    <col min="1030" max="1030" width="22.5740740740741" style="208" customWidth="1"/>
    <col min="1031" max="1031" width="13.712962962963" style="208" customWidth="1"/>
    <col min="1032" max="1032" width="21.1388888888889" style="208" customWidth="1"/>
    <col min="1033" max="1033" width="4.42592592592593" style="208" customWidth="1"/>
    <col min="1034" max="1279" width="11.4259259259259" style="208"/>
    <col min="1280" max="1280" width="4.57407407407407" style="208" customWidth="1"/>
    <col min="1281" max="1281" width="47.287037037037" style="208" customWidth="1"/>
    <col min="1282" max="1282" width="5" style="208" customWidth="1"/>
    <col min="1283" max="1284" width="9.42592592592593" style="208" customWidth="1"/>
    <col min="1285" max="1285" width="8.28703703703704" style="208" customWidth="1"/>
    <col min="1286" max="1286" width="22.5740740740741" style="208" customWidth="1"/>
    <col min="1287" max="1287" width="13.712962962963" style="208" customWidth="1"/>
    <col min="1288" max="1288" width="21.1388888888889" style="208" customWidth="1"/>
    <col min="1289" max="1289" width="4.42592592592593" style="208" customWidth="1"/>
    <col min="1290" max="1535" width="11.4259259259259" style="208"/>
    <col min="1536" max="1536" width="4.57407407407407" style="208" customWidth="1"/>
    <col min="1537" max="1537" width="47.287037037037" style="208" customWidth="1"/>
    <col min="1538" max="1538" width="5" style="208" customWidth="1"/>
    <col min="1539" max="1540" width="9.42592592592593" style="208" customWidth="1"/>
    <col min="1541" max="1541" width="8.28703703703704" style="208" customWidth="1"/>
    <col min="1542" max="1542" width="22.5740740740741" style="208" customWidth="1"/>
    <col min="1543" max="1543" width="13.712962962963" style="208" customWidth="1"/>
    <col min="1544" max="1544" width="21.1388888888889" style="208" customWidth="1"/>
    <col min="1545" max="1545" width="4.42592592592593" style="208" customWidth="1"/>
    <col min="1546" max="1791" width="11.4259259259259" style="208"/>
    <col min="1792" max="1792" width="4.57407407407407" style="208" customWidth="1"/>
    <col min="1793" max="1793" width="47.287037037037" style="208" customWidth="1"/>
    <col min="1794" max="1794" width="5" style="208" customWidth="1"/>
    <col min="1795" max="1796" width="9.42592592592593" style="208" customWidth="1"/>
    <col min="1797" max="1797" width="8.28703703703704" style="208" customWidth="1"/>
    <col min="1798" max="1798" width="22.5740740740741" style="208" customWidth="1"/>
    <col min="1799" max="1799" width="13.712962962963" style="208" customWidth="1"/>
    <col min="1800" max="1800" width="21.1388888888889" style="208" customWidth="1"/>
    <col min="1801" max="1801" width="4.42592592592593" style="208" customWidth="1"/>
    <col min="1802" max="2047" width="11.4259259259259" style="208"/>
    <col min="2048" max="2048" width="4.57407407407407" style="208" customWidth="1"/>
    <col min="2049" max="2049" width="47.287037037037" style="208" customWidth="1"/>
    <col min="2050" max="2050" width="5" style="208" customWidth="1"/>
    <col min="2051" max="2052" width="9.42592592592593" style="208" customWidth="1"/>
    <col min="2053" max="2053" width="8.28703703703704" style="208" customWidth="1"/>
    <col min="2054" max="2054" width="22.5740740740741" style="208" customWidth="1"/>
    <col min="2055" max="2055" width="13.712962962963" style="208" customWidth="1"/>
    <col min="2056" max="2056" width="21.1388888888889" style="208" customWidth="1"/>
    <col min="2057" max="2057" width="4.42592592592593" style="208" customWidth="1"/>
    <col min="2058" max="2303" width="11.4259259259259" style="208"/>
    <col min="2304" max="2304" width="4.57407407407407" style="208" customWidth="1"/>
    <col min="2305" max="2305" width="47.287037037037" style="208" customWidth="1"/>
    <col min="2306" max="2306" width="5" style="208" customWidth="1"/>
    <col min="2307" max="2308" width="9.42592592592593" style="208" customWidth="1"/>
    <col min="2309" max="2309" width="8.28703703703704" style="208" customWidth="1"/>
    <col min="2310" max="2310" width="22.5740740740741" style="208" customWidth="1"/>
    <col min="2311" max="2311" width="13.712962962963" style="208" customWidth="1"/>
    <col min="2312" max="2312" width="21.1388888888889" style="208" customWidth="1"/>
    <col min="2313" max="2313" width="4.42592592592593" style="208" customWidth="1"/>
    <col min="2314" max="2559" width="11.4259259259259" style="208"/>
    <col min="2560" max="2560" width="4.57407407407407" style="208" customWidth="1"/>
    <col min="2561" max="2561" width="47.287037037037" style="208" customWidth="1"/>
    <col min="2562" max="2562" width="5" style="208" customWidth="1"/>
    <col min="2563" max="2564" width="9.42592592592593" style="208" customWidth="1"/>
    <col min="2565" max="2565" width="8.28703703703704" style="208" customWidth="1"/>
    <col min="2566" max="2566" width="22.5740740740741" style="208" customWidth="1"/>
    <col min="2567" max="2567" width="13.712962962963" style="208" customWidth="1"/>
    <col min="2568" max="2568" width="21.1388888888889" style="208" customWidth="1"/>
    <col min="2569" max="2569" width="4.42592592592593" style="208" customWidth="1"/>
    <col min="2570" max="2815" width="11.4259259259259" style="208"/>
    <col min="2816" max="2816" width="4.57407407407407" style="208" customWidth="1"/>
    <col min="2817" max="2817" width="47.287037037037" style="208" customWidth="1"/>
    <col min="2818" max="2818" width="5" style="208" customWidth="1"/>
    <col min="2819" max="2820" width="9.42592592592593" style="208" customWidth="1"/>
    <col min="2821" max="2821" width="8.28703703703704" style="208" customWidth="1"/>
    <col min="2822" max="2822" width="22.5740740740741" style="208" customWidth="1"/>
    <col min="2823" max="2823" width="13.712962962963" style="208" customWidth="1"/>
    <col min="2824" max="2824" width="21.1388888888889" style="208" customWidth="1"/>
    <col min="2825" max="2825" width="4.42592592592593" style="208" customWidth="1"/>
    <col min="2826" max="3071" width="11.4259259259259" style="208"/>
    <col min="3072" max="3072" width="4.57407407407407" style="208" customWidth="1"/>
    <col min="3073" max="3073" width="47.287037037037" style="208" customWidth="1"/>
    <col min="3074" max="3074" width="5" style="208" customWidth="1"/>
    <col min="3075" max="3076" width="9.42592592592593" style="208" customWidth="1"/>
    <col min="3077" max="3077" width="8.28703703703704" style="208" customWidth="1"/>
    <col min="3078" max="3078" width="22.5740740740741" style="208" customWidth="1"/>
    <col min="3079" max="3079" width="13.712962962963" style="208" customWidth="1"/>
    <col min="3080" max="3080" width="21.1388888888889" style="208" customWidth="1"/>
    <col min="3081" max="3081" width="4.42592592592593" style="208" customWidth="1"/>
    <col min="3082" max="3327" width="11.4259259259259" style="208"/>
    <col min="3328" max="3328" width="4.57407407407407" style="208" customWidth="1"/>
    <col min="3329" max="3329" width="47.287037037037" style="208" customWidth="1"/>
    <col min="3330" max="3330" width="5" style="208" customWidth="1"/>
    <col min="3331" max="3332" width="9.42592592592593" style="208" customWidth="1"/>
    <col min="3333" max="3333" width="8.28703703703704" style="208" customWidth="1"/>
    <col min="3334" max="3334" width="22.5740740740741" style="208" customWidth="1"/>
    <col min="3335" max="3335" width="13.712962962963" style="208" customWidth="1"/>
    <col min="3336" max="3336" width="21.1388888888889" style="208" customWidth="1"/>
    <col min="3337" max="3337" width="4.42592592592593" style="208" customWidth="1"/>
    <col min="3338" max="3583" width="11.4259259259259" style="208"/>
    <col min="3584" max="3584" width="4.57407407407407" style="208" customWidth="1"/>
    <col min="3585" max="3585" width="47.287037037037" style="208" customWidth="1"/>
    <col min="3586" max="3586" width="5" style="208" customWidth="1"/>
    <col min="3587" max="3588" width="9.42592592592593" style="208" customWidth="1"/>
    <col min="3589" max="3589" width="8.28703703703704" style="208" customWidth="1"/>
    <col min="3590" max="3590" width="22.5740740740741" style="208" customWidth="1"/>
    <col min="3591" max="3591" width="13.712962962963" style="208" customWidth="1"/>
    <col min="3592" max="3592" width="21.1388888888889" style="208" customWidth="1"/>
    <col min="3593" max="3593" width="4.42592592592593" style="208" customWidth="1"/>
    <col min="3594" max="3839" width="11.4259259259259" style="208"/>
    <col min="3840" max="3840" width="4.57407407407407" style="208" customWidth="1"/>
    <col min="3841" max="3841" width="47.287037037037" style="208" customWidth="1"/>
    <col min="3842" max="3842" width="5" style="208" customWidth="1"/>
    <col min="3843" max="3844" width="9.42592592592593" style="208" customWidth="1"/>
    <col min="3845" max="3845" width="8.28703703703704" style="208" customWidth="1"/>
    <col min="3846" max="3846" width="22.5740740740741" style="208" customWidth="1"/>
    <col min="3847" max="3847" width="13.712962962963" style="208" customWidth="1"/>
    <col min="3848" max="3848" width="21.1388888888889" style="208" customWidth="1"/>
    <col min="3849" max="3849" width="4.42592592592593" style="208" customWidth="1"/>
    <col min="3850" max="4095" width="11.4259259259259" style="208"/>
    <col min="4096" max="4096" width="4.57407407407407" style="208" customWidth="1"/>
    <col min="4097" max="4097" width="47.287037037037" style="208" customWidth="1"/>
    <col min="4098" max="4098" width="5" style="208" customWidth="1"/>
    <col min="4099" max="4100" width="9.42592592592593" style="208" customWidth="1"/>
    <col min="4101" max="4101" width="8.28703703703704" style="208" customWidth="1"/>
    <col min="4102" max="4102" width="22.5740740740741" style="208" customWidth="1"/>
    <col min="4103" max="4103" width="13.712962962963" style="208" customWidth="1"/>
    <col min="4104" max="4104" width="21.1388888888889" style="208" customWidth="1"/>
    <col min="4105" max="4105" width="4.42592592592593" style="208" customWidth="1"/>
    <col min="4106" max="4351" width="11.4259259259259" style="208"/>
    <col min="4352" max="4352" width="4.57407407407407" style="208" customWidth="1"/>
    <col min="4353" max="4353" width="47.287037037037" style="208" customWidth="1"/>
    <col min="4354" max="4354" width="5" style="208" customWidth="1"/>
    <col min="4355" max="4356" width="9.42592592592593" style="208" customWidth="1"/>
    <col min="4357" max="4357" width="8.28703703703704" style="208" customWidth="1"/>
    <col min="4358" max="4358" width="22.5740740740741" style="208" customWidth="1"/>
    <col min="4359" max="4359" width="13.712962962963" style="208" customWidth="1"/>
    <col min="4360" max="4360" width="21.1388888888889" style="208" customWidth="1"/>
    <col min="4361" max="4361" width="4.42592592592593" style="208" customWidth="1"/>
    <col min="4362" max="4607" width="11.4259259259259" style="208"/>
    <col min="4608" max="4608" width="4.57407407407407" style="208" customWidth="1"/>
    <col min="4609" max="4609" width="47.287037037037" style="208" customWidth="1"/>
    <col min="4610" max="4610" width="5" style="208" customWidth="1"/>
    <col min="4611" max="4612" width="9.42592592592593" style="208" customWidth="1"/>
    <col min="4613" max="4613" width="8.28703703703704" style="208" customWidth="1"/>
    <col min="4614" max="4614" width="22.5740740740741" style="208" customWidth="1"/>
    <col min="4615" max="4615" width="13.712962962963" style="208" customWidth="1"/>
    <col min="4616" max="4616" width="21.1388888888889" style="208" customWidth="1"/>
    <col min="4617" max="4617" width="4.42592592592593" style="208" customWidth="1"/>
    <col min="4618" max="4863" width="11.4259259259259" style="208"/>
    <col min="4864" max="4864" width="4.57407407407407" style="208" customWidth="1"/>
    <col min="4865" max="4865" width="47.287037037037" style="208" customWidth="1"/>
    <col min="4866" max="4866" width="5" style="208" customWidth="1"/>
    <col min="4867" max="4868" width="9.42592592592593" style="208" customWidth="1"/>
    <col min="4869" max="4869" width="8.28703703703704" style="208" customWidth="1"/>
    <col min="4870" max="4870" width="22.5740740740741" style="208" customWidth="1"/>
    <col min="4871" max="4871" width="13.712962962963" style="208" customWidth="1"/>
    <col min="4872" max="4872" width="21.1388888888889" style="208" customWidth="1"/>
    <col min="4873" max="4873" width="4.42592592592593" style="208" customWidth="1"/>
    <col min="4874" max="5119" width="11.4259259259259" style="208"/>
    <col min="5120" max="5120" width="4.57407407407407" style="208" customWidth="1"/>
    <col min="5121" max="5121" width="47.287037037037" style="208" customWidth="1"/>
    <col min="5122" max="5122" width="5" style="208" customWidth="1"/>
    <col min="5123" max="5124" width="9.42592592592593" style="208" customWidth="1"/>
    <col min="5125" max="5125" width="8.28703703703704" style="208" customWidth="1"/>
    <col min="5126" max="5126" width="22.5740740740741" style="208" customWidth="1"/>
    <col min="5127" max="5127" width="13.712962962963" style="208" customWidth="1"/>
    <col min="5128" max="5128" width="21.1388888888889" style="208" customWidth="1"/>
    <col min="5129" max="5129" width="4.42592592592593" style="208" customWidth="1"/>
    <col min="5130" max="5375" width="11.4259259259259" style="208"/>
    <col min="5376" max="5376" width="4.57407407407407" style="208" customWidth="1"/>
    <col min="5377" max="5377" width="47.287037037037" style="208" customWidth="1"/>
    <col min="5378" max="5378" width="5" style="208" customWidth="1"/>
    <col min="5379" max="5380" width="9.42592592592593" style="208" customWidth="1"/>
    <col min="5381" max="5381" width="8.28703703703704" style="208" customWidth="1"/>
    <col min="5382" max="5382" width="22.5740740740741" style="208" customWidth="1"/>
    <col min="5383" max="5383" width="13.712962962963" style="208" customWidth="1"/>
    <col min="5384" max="5384" width="21.1388888888889" style="208" customWidth="1"/>
    <col min="5385" max="5385" width="4.42592592592593" style="208" customWidth="1"/>
    <col min="5386" max="5631" width="11.4259259259259" style="208"/>
    <col min="5632" max="5632" width="4.57407407407407" style="208" customWidth="1"/>
    <col min="5633" max="5633" width="47.287037037037" style="208" customWidth="1"/>
    <col min="5634" max="5634" width="5" style="208" customWidth="1"/>
    <col min="5635" max="5636" width="9.42592592592593" style="208" customWidth="1"/>
    <col min="5637" max="5637" width="8.28703703703704" style="208" customWidth="1"/>
    <col min="5638" max="5638" width="22.5740740740741" style="208" customWidth="1"/>
    <col min="5639" max="5639" width="13.712962962963" style="208" customWidth="1"/>
    <col min="5640" max="5640" width="21.1388888888889" style="208" customWidth="1"/>
    <col min="5641" max="5641" width="4.42592592592593" style="208" customWidth="1"/>
    <col min="5642" max="5887" width="11.4259259259259" style="208"/>
    <col min="5888" max="5888" width="4.57407407407407" style="208" customWidth="1"/>
    <col min="5889" max="5889" width="47.287037037037" style="208" customWidth="1"/>
    <col min="5890" max="5890" width="5" style="208" customWidth="1"/>
    <col min="5891" max="5892" width="9.42592592592593" style="208" customWidth="1"/>
    <col min="5893" max="5893" width="8.28703703703704" style="208" customWidth="1"/>
    <col min="5894" max="5894" width="22.5740740740741" style="208" customWidth="1"/>
    <col min="5895" max="5895" width="13.712962962963" style="208" customWidth="1"/>
    <col min="5896" max="5896" width="21.1388888888889" style="208" customWidth="1"/>
    <col min="5897" max="5897" width="4.42592592592593" style="208" customWidth="1"/>
    <col min="5898" max="6143" width="11.4259259259259" style="208"/>
    <col min="6144" max="6144" width="4.57407407407407" style="208" customWidth="1"/>
    <col min="6145" max="6145" width="47.287037037037" style="208" customWidth="1"/>
    <col min="6146" max="6146" width="5" style="208" customWidth="1"/>
    <col min="6147" max="6148" width="9.42592592592593" style="208" customWidth="1"/>
    <col min="6149" max="6149" width="8.28703703703704" style="208" customWidth="1"/>
    <col min="6150" max="6150" width="22.5740740740741" style="208" customWidth="1"/>
    <col min="6151" max="6151" width="13.712962962963" style="208" customWidth="1"/>
    <col min="6152" max="6152" width="21.1388888888889" style="208" customWidth="1"/>
    <col min="6153" max="6153" width="4.42592592592593" style="208" customWidth="1"/>
    <col min="6154" max="6399" width="11.4259259259259" style="208"/>
    <col min="6400" max="6400" width="4.57407407407407" style="208" customWidth="1"/>
    <col min="6401" max="6401" width="47.287037037037" style="208" customWidth="1"/>
    <col min="6402" max="6402" width="5" style="208" customWidth="1"/>
    <col min="6403" max="6404" width="9.42592592592593" style="208" customWidth="1"/>
    <col min="6405" max="6405" width="8.28703703703704" style="208" customWidth="1"/>
    <col min="6406" max="6406" width="22.5740740740741" style="208" customWidth="1"/>
    <col min="6407" max="6407" width="13.712962962963" style="208" customWidth="1"/>
    <col min="6408" max="6408" width="21.1388888888889" style="208" customWidth="1"/>
    <col min="6409" max="6409" width="4.42592592592593" style="208" customWidth="1"/>
    <col min="6410" max="6655" width="11.4259259259259" style="208"/>
    <col min="6656" max="6656" width="4.57407407407407" style="208" customWidth="1"/>
    <col min="6657" max="6657" width="47.287037037037" style="208" customWidth="1"/>
    <col min="6658" max="6658" width="5" style="208" customWidth="1"/>
    <col min="6659" max="6660" width="9.42592592592593" style="208" customWidth="1"/>
    <col min="6661" max="6661" width="8.28703703703704" style="208" customWidth="1"/>
    <col min="6662" max="6662" width="22.5740740740741" style="208" customWidth="1"/>
    <col min="6663" max="6663" width="13.712962962963" style="208" customWidth="1"/>
    <col min="6664" max="6664" width="21.1388888888889" style="208" customWidth="1"/>
    <col min="6665" max="6665" width="4.42592592592593" style="208" customWidth="1"/>
    <col min="6666" max="6911" width="11.4259259259259" style="208"/>
    <col min="6912" max="6912" width="4.57407407407407" style="208" customWidth="1"/>
    <col min="6913" max="6913" width="47.287037037037" style="208" customWidth="1"/>
    <col min="6914" max="6914" width="5" style="208" customWidth="1"/>
    <col min="6915" max="6916" width="9.42592592592593" style="208" customWidth="1"/>
    <col min="6917" max="6917" width="8.28703703703704" style="208" customWidth="1"/>
    <col min="6918" max="6918" width="22.5740740740741" style="208" customWidth="1"/>
    <col min="6919" max="6919" width="13.712962962963" style="208" customWidth="1"/>
    <col min="6920" max="6920" width="21.1388888888889" style="208" customWidth="1"/>
    <col min="6921" max="6921" width="4.42592592592593" style="208" customWidth="1"/>
    <col min="6922" max="7167" width="11.4259259259259" style="208"/>
    <col min="7168" max="7168" width="4.57407407407407" style="208" customWidth="1"/>
    <col min="7169" max="7169" width="47.287037037037" style="208" customWidth="1"/>
    <col min="7170" max="7170" width="5" style="208" customWidth="1"/>
    <col min="7171" max="7172" width="9.42592592592593" style="208" customWidth="1"/>
    <col min="7173" max="7173" width="8.28703703703704" style="208" customWidth="1"/>
    <col min="7174" max="7174" width="22.5740740740741" style="208" customWidth="1"/>
    <col min="7175" max="7175" width="13.712962962963" style="208" customWidth="1"/>
    <col min="7176" max="7176" width="21.1388888888889" style="208" customWidth="1"/>
    <col min="7177" max="7177" width="4.42592592592593" style="208" customWidth="1"/>
    <col min="7178" max="7423" width="11.4259259259259" style="208"/>
    <col min="7424" max="7424" width="4.57407407407407" style="208" customWidth="1"/>
    <col min="7425" max="7425" width="47.287037037037" style="208" customWidth="1"/>
    <col min="7426" max="7426" width="5" style="208" customWidth="1"/>
    <col min="7427" max="7428" width="9.42592592592593" style="208" customWidth="1"/>
    <col min="7429" max="7429" width="8.28703703703704" style="208" customWidth="1"/>
    <col min="7430" max="7430" width="22.5740740740741" style="208" customWidth="1"/>
    <col min="7431" max="7431" width="13.712962962963" style="208" customWidth="1"/>
    <col min="7432" max="7432" width="21.1388888888889" style="208" customWidth="1"/>
    <col min="7433" max="7433" width="4.42592592592593" style="208" customWidth="1"/>
    <col min="7434" max="7679" width="11.4259259259259" style="208"/>
    <col min="7680" max="7680" width="4.57407407407407" style="208" customWidth="1"/>
    <col min="7681" max="7681" width="47.287037037037" style="208" customWidth="1"/>
    <col min="7682" max="7682" width="5" style="208" customWidth="1"/>
    <col min="7683" max="7684" width="9.42592592592593" style="208" customWidth="1"/>
    <col min="7685" max="7685" width="8.28703703703704" style="208" customWidth="1"/>
    <col min="7686" max="7686" width="22.5740740740741" style="208" customWidth="1"/>
    <col min="7687" max="7687" width="13.712962962963" style="208" customWidth="1"/>
    <col min="7688" max="7688" width="21.1388888888889" style="208" customWidth="1"/>
    <col min="7689" max="7689" width="4.42592592592593" style="208" customWidth="1"/>
    <col min="7690" max="7935" width="11.4259259259259" style="208"/>
    <col min="7936" max="7936" width="4.57407407407407" style="208" customWidth="1"/>
    <col min="7937" max="7937" width="47.287037037037" style="208" customWidth="1"/>
    <col min="7938" max="7938" width="5" style="208" customWidth="1"/>
    <col min="7939" max="7940" width="9.42592592592593" style="208" customWidth="1"/>
    <col min="7941" max="7941" width="8.28703703703704" style="208" customWidth="1"/>
    <col min="7942" max="7942" width="22.5740740740741" style="208" customWidth="1"/>
    <col min="7943" max="7943" width="13.712962962963" style="208" customWidth="1"/>
    <col min="7944" max="7944" width="21.1388888888889" style="208" customWidth="1"/>
    <col min="7945" max="7945" width="4.42592592592593" style="208" customWidth="1"/>
    <col min="7946" max="8191" width="11.4259259259259" style="208"/>
    <col min="8192" max="8192" width="4.57407407407407" style="208" customWidth="1"/>
    <col min="8193" max="8193" width="47.287037037037" style="208" customWidth="1"/>
    <col min="8194" max="8194" width="5" style="208" customWidth="1"/>
    <col min="8195" max="8196" width="9.42592592592593" style="208" customWidth="1"/>
    <col min="8197" max="8197" width="8.28703703703704" style="208" customWidth="1"/>
    <col min="8198" max="8198" width="22.5740740740741" style="208" customWidth="1"/>
    <col min="8199" max="8199" width="13.712962962963" style="208" customWidth="1"/>
    <col min="8200" max="8200" width="21.1388888888889" style="208" customWidth="1"/>
    <col min="8201" max="8201" width="4.42592592592593" style="208" customWidth="1"/>
    <col min="8202" max="8447" width="11.4259259259259" style="208"/>
    <col min="8448" max="8448" width="4.57407407407407" style="208" customWidth="1"/>
    <col min="8449" max="8449" width="47.287037037037" style="208" customWidth="1"/>
    <col min="8450" max="8450" width="5" style="208" customWidth="1"/>
    <col min="8451" max="8452" width="9.42592592592593" style="208" customWidth="1"/>
    <col min="8453" max="8453" width="8.28703703703704" style="208" customWidth="1"/>
    <col min="8454" max="8454" width="22.5740740740741" style="208" customWidth="1"/>
    <col min="8455" max="8455" width="13.712962962963" style="208" customWidth="1"/>
    <col min="8456" max="8456" width="21.1388888888889" style="208" customWidth="1"/>
    <col min="8457" max="8457" width="4.42592592592593" style="208" customWidth="1"/>
    <col min="8458" max="8703" width="11.4259259259259" style="208"/>
    <col min="8704" max="8704" width="4.57407407407407" style="208" customWidth="1"/>
    <col min="8705" max="8705" width="47.287037037037" style="208" customWidth="1"/>
    <col min="8706" max="8706" width="5" style="208" customWidth="1"/>
    <col min="8707" max="8708" width="9.42592592592593" style="208" customWidth="1"/>
    <col min="8709" max="8709" width="8.28703703703704" style="208" customWidth="1"/>
    <col min="8710" max="8710" width="22.5740740740741" style="208" customWidth="1"/>
    <col min="8711" max="8711" width="13.712962962963" style="208" customWidth="1"/>
    <col min="8712" max="8712" width="21.1388888888889" style="208" customWidth="1"/>
    <col min="8713" max="8713" width="4.42592592592593" style="208" customWidth="1"/>
    <col min="8714" max="8959" width="11.4259259259259" style="208"/>
    <col min="8960" max="8960" width="4.57407407407407" style="208" customWidth="1"/>
    <col min="8961" max="8961" width="47.287037037037" style="208" customWidth="1"/>
    <col min="8962" max="8962" width="5" style="208" customWidth="1"/>
    <col min="8963" max="8964" width="9.42592592592593" style="208" customWidth="1"/>
    <col min="8965" max="8965" width="8.28703703703704" style="208" customWidth="1"/>
    <col min="8966" max="8966" width="22.5740740740741" style="208" customWidth="1"/>
    <col min="8967" max="8967" width="13.712962962963" style="208" customWidth="1"/>
    <col min="8968" max="8968" width="21.1388888888889" style="208" customWidth="1"/>
    <col min="8969" max="8969" width="4.42592592592593" style="208" customWidth="1"/>
    <col min="8970" max="9215" width="11.4259259259259" style="208"/>
    <col min="9216" max="9216" width="4.57407407407407" style="208" customWidth="1"/>
    <col min="9217" max="9217" width="47.287037037037" style="208" customWidth="1"/>
    <col min="9218" max="9218" width="5" style="208" customWidth="1"/>
    <col min="9219" max="9220" width="9.42592592592593" style="208" customWidth="1"/>
    <col min="9221" max="9221" width="8.28703703703704" style="208" customWidth="1"/>
    <col min="9222" max="9222" width="22.5740740740741" style="208" customWidth="1"/>
    <col min="9223" max="9223" width="13.712962962963" style="208" customWidth="1"/>
    <col min="9224" max="9224" width="21.1388888888889" style="208" customWidth="1"/>
    <col min="9225" max="9225" width="4.42592592592593" style="208" customWidth="1"/>
    <col min="9226" max="9471" width="11.4259259259259" style="208"/>
    <col min="9472" max="9472" width="4.57407407407407" style="208" customWidth="1"/>
    <col min="9473" max="9473" width="47.287037037037" style="208" customWidth="1"/>
    <col min="9474" max="9474" width="5" style="208" customWidth="1"/>
    <col min="9475" max="9476" width="9.42592592592593" style="208" customWidth="1"/>
    <col min="9477" max="9477" width="8.28703703703704" style="208" customWidth="1"/>
    <col min="9478" max="9478" width="22.5740740740741" style="208" customWidth="1"/>
    <col min="9479" max="9479" width="13.712962962963" style="208" customWidth="1"/>
    <col min="9480" max="9480" width="21.1388888888889" style="208" customWidth="1"/>
    <col min="9481" max="9481" width="4.42592592592593" style="208" customWidth="1"/>
    <col min="9482" max="9727" width="11.4259259259259" style="208"/>
    <col min="9728" max="9728" width="4.57407407407407" style="208" customWidth="1"/>
    <col min="9729" max="9729" width="47.287037037037" style="208" customWidth="1"/>
    <col min="9730" max="9730" width="5" style="208" customWidth="1"/>
    <col min="9731" max="9732" width="9.42592592592593" style="208" customWidth="1"/>
    <col min="9733" max="9733" width="8.28703703703704" style="208" customWidth="1"/>
    <col min="9734" max="9734" width="22.5740740740741" style="208" customWidth="1"/>
    <col min="9735" max="9735" width="13.712962962963" style="208" customWidth="1"/>
    <col min="9736" max="9736" width="21.1388888888889" style="208" customWidth="1"/>
    <col min="9737" max="9737" width="4.42592592592593" style="208" customWidth="1"/>
    <col min="9738" max="9983" width="11.4259259259259" style="208"/>
    <col min="9984" max="9984" width="4.57407407407407" style="208" customWidth="1"/>
    <col min="9985" max="9985" width="47.287037037037" style="208" customWidth="1"/>
    <col min="9986" max="9986" width="5" style="208" customWidth="1"/>
    <col min="9987" max="9988" width="9.42592592592593" style="208" customWidth="1"/>
    <col min="9989" max="9989" width="8.28703703703704" style="208" customWidth="1"/>
    <col min="9990" max="9990" width="22.5740740740741" style="208" customWidth="1"/>
    <col min="9991" max="9991" width="13.712962962963" style="208" customWidth="1"/>
    <col min="9992" max="9992" width="21.1388888888889" style="208" customWidth="1"/>
    <col min="9993" max="9993" width="4.42592592592593" style="208" customWidth="1"/>
    <col min="9994" max="10239" width="11.4259259259259" style="208"/>
    <col min="10240" max="10240" width="4.57407407407407" style="208" customWidth="1"/>
    <col min="10241" max="10241" width="47.287037037037" style="208" customWidth="1"/>
    <col min="10242" max="10242" width="5" style="208" customWidth="1"/>
    <col min="10243" max="10244" width="9.42592592592593" style="208" customWidth="1"/>
    <col min="10245" max="10245" width="8.28703703703704" style="208" customWidth="1"/>
    <col min="10246" max="10246" width="22.5740740740741" style="208" customWidth="1"/>
    <col min="10247" max="10247" width="13.712962962963" style="208" customWidth="1"/>
    <col min="10248" max="10248" width="21.1388888888889" style="208" customWidth="1"/>
    <col min="10249" max="10249" width="4.42592592592593" style="208" customWidth="1"/>
    <col min="10250" max="10495" width="11.4259259259259" style="208"/>
    <col min="10496" max="10496" width="4.57407407407407" style="208" customWidth="1"/>
    <col min="10497" max="10497" width="47.287037037037" style="208" customWidth="1"/>
    <col min="10498" max="10498" width="5" style="208" customWidth="1"/>
    <col min="10499" max="10500" width="9.42592592592593" style="208" customWidth="1"/>
    <col min="10501" max="10501" width="8.28703703703704" style="208" customWidth="1"/>
    <col min="10502" max="10502" width="22.5740740740741" style="208" customWidth="1"/>
    <col min="10503" max="10503" width="13.712962962963" style="208" customWidth="1"/>
    <col min="10504" max="10504" width="21.1388888888889" style="208" customWidth="1"/>
    <col min="10505" max="10505" width="4.42592592592593" style="208" customWidth="1"/>
    <col min="10506" max="10751" width="11.4259259259259" style="208"/>
    <col min="10752" max="10752" width="4.57407407407407" style="208" customWidth="1"/>
    <col min="10753" max="10753" width="47.287037037037" style="208" customWidth="1"/>
    <col min="10754" max="10754" width="5" style="208" customWidth="1"/>
    <col min="10755" max="10756" width="9.42592592592593" style="208" customWidth="1"/>
    <col min="10757" max="10757" width="8.28703703703704" style="208" customWidth="1"/>
    <col min="10758" max="10758" width="22.5740740740741" style="208" customWidth="1"/>
    <col min="10759" max="10759" width="13.712962962963" style="208" customWidth="1"/>
    <col min="10760" max="10760" width="21.1388888888889" style="208" customWidth="1"/>
    <col min="10761" max="10761" width="4.42592592592593" style="208" customWidth="1"/>
    <col min="10762" max="11007" width="11.4259259259259" style="208"/>
    <col min="11008" max="11008" width="4.57407407407407" style="208" customWidth="1"/>
    <col min="11009" max="11009" width="47.287037037037" style="208" customWidth="1"/>
    <col min="11010" max="11010" width="5" style="208" customWidth="1"/>
    <col min="11011" max="11012" width="9.42592592592593" style="208" customWidth="1"/>
    <col min="11013" max="11013" width="8.28703703703704" style="208" customWidth="1"/>
    <col min="11014" max="11014" width="22.5740740740741" style="208" customWidth="1"/>
    <col min="11015" max="11015" width="13.712962962963" style="208" customWidth="1"/>
    <col min="11016" max="11016" width="21.1388888888889" style="208" customWidth="1"/>
    <col min="11017" max="11017" width="4.42592592592593" style="208" customWidth="1"/>
    <col min="11018" max="11263" width="11.4259259259259" style="208"/>
    <col min="11264" max="11264" width="4.57407407407407" style="208" customWidth="1"/>
    <col min="11265" max="11265" width="47.287037037037" style="208" customWidth="1"/>
    <col min="11266" max="11266" width="5" style="208" customWidth="1"/>
    <col min="11267" max="11268" width="9.42592592592593" style="208" customWidth="1"/>
    <col min="11269" max="11269" width="8.28703703703704" style="208" customWidth="1"/>
    <col min="11270" max="11270" width="22.5740740740741" style="208" customWidth="1"/>
    <col min="11271" max="11271" width="13.712962962963" style="208" customWidth="1"/>
    <col min="11272" max="11272" width="21.1388888888889" style="208" customWidth="1"/>
    <col min="11273" max="11273" width="4.42592592592593" style="208" customWidth="1"/>
    <col min="11274" max="11519" width="11.4259259259259" style="208"/>
    <col min="11520" max="11520" width="4.57407407407407" style="208" customWidth="1"/>
    <col min="11521" max="11521" width="47.287037037037" style="208" customWidth="1"/>
    <col min="11522" max="11522" width="5" style="208" customWidth="1"/>
    <col min="11523" max="11524" width="9.42592592592593" style="208" customWidth="1"/>
    <col min="11525" max="11525" width="8.28703703703704" style="208" customWidth="1"/>
    <col min="11526" max="11526" width="22.5740740740741" style="208" customWidth="1"/>
    <col min="11527" max="11527" width="13.712962962963" style="208" customWidth="1"/>
    <col min="11528" max="11528" width="21.1388888888889" style="208" customWidth="1"/>
    <col min="11529" max="11529" width="4.42592592592593" style="208" customWidth="1"/>
    <col min="11530" max="11775" width="11.4259259259259" style="208"/>
    <col min="11776" max="11776" width="4.57407407407407" style="208" customWidth="1"/>
    <col min="11777" max="11777" width="47.287037037037" style="208" customWidth="1"/>
    <col min="11778" max="11778" width="5" style="208" customWidth="1"/>
    <col min="11779" max="11780" width="9.42592592592593" style="208" customWidth="1"/>
    <col min="11781" max="11781" width="8.28703703703704" style="208" customWidth="1"/>
    <col min="11782" max="11782" width="22.5740740740741" style="208" customWidth="1"/>
    <col min="11783" max="11783" width="13.712962962963" style="208" customWidth="1"/>
    <col min="11784" max="11784" width="21.1388888888889" style="208" customWidth="1"/>
    <col min="11785" max="11785" width="4.42592592592593" style="208" customWidth="1"/>
    <col min="11786" max="12031" width="11.4259259259259" style="208"/>
    <col min="12032" max="12032" width="4.57407407407407" style="208" customWidth="1"/>
    <col min="12033" max="12033" width="47.287037037037" style="208" customWidth="1"/>
    <col min="12034" max="12034" width="5" style="208" customWidth="1"/>
    <col min="12035" max="12036" width="9.42592592592593" style="208" customWidth="1"/>
    <col min="12037" max="12037" width="8.28703703703704" style="208" customWidth="1"/>
    <col min="12038" max="12038" width="22.5740740740741" style="208" customWidth="1"/>
    <col min="12039" max="12039" width="13.712962962963" style="208" customWidth="1"/>
    <col min="12040" max="12040" width="21.1388888888889" style="208" customWidth="1"/>
    <col min="12041" max="12041" width="4.42592592592593" style="208" customWidth="1"/>
    <col min="12042" max="12287" width="11.4259259259259" style="208"/>
    <col min="12288" max="12288" width="4.57407407407407" style="208" customWidth="1"/>
    <col min="12289" max="12289" width="47.287037037037" style="208" customWidth="1"/>
    <col min="12290" max="12290" width="5" style="208" customWidth="1"/>
    <col min="12291" max="12292" width="9.42592592592593" style="208" customWidth="1"/>
    <col min="12293" max="12293" width="8.28703703703704" style="208" customWidth="1"/>
    <col min="12294" max="12294" width="22.5740740740741" style="208" customWidth="1"/>
    <col min="12295" max="12295" width="13.712962962963" style="208" customWidth="1"/>
    <col min="12296" max="12296" width="21.1388888888889" style="208" customWidth="1"/>
    <col min="12297" max="12297" width="4.42592592592593" style="208" customWidth="1"/>
    <col min="12298" max="12543" width="11.4259259259259" style="208"/>
    <col min="12544" max="12544" width="4.57407407407407" style="208" customWidth="1"/>
    <col min="12545" max="12545" width="47.287037037037" style="208" customWidth="1"/>
    <col min="12546" max="12546" width="5" style="208" customWidth="1"/>
    <col min="12547" max="12548" width="9.42592592592593" style="208" customWidth="1"/>
    <col min="12549" max="12549" width="8.28703703703704" style="208" customWidth="1"/>
    <col min="12550" max="12550" width="22.5740740740741" style="208" customWidth="1"/>
    <col min="12551" max="12551" width="13.712962962963" style="208" customWidth="1"/>
    <col min="12552" max="12552" width="21.1388888888889" style="208" customWidth="1"/>
    <col min="12553" max="12553" width="4.42592592592593" style="208" customWidth="1"/>
    <col min="12554" max="12799" width="11.4259259259259" style="208"/>
    <col min="12800" max="12800" width="4.57407407407407" style="208" customWidth="1"/>
    <col min="12801" max="12801" width="47.287037037037" style="208" customWidth="1"/>
    <col min="12802" max="12802" width="5" style="208" customWidth="1"/>
    <col min="12803" max="12804" width="9.42592592592593" style="208" customWidth="1"/>
    <col min="12805" max="12805" width="8.28703703703704" style="208" customWidth="1"/>
    <col min="12806" max="12806" width="22.5740740740741" style="208" customWidth="1"/>
    <col min="12807" max="12807" width="13.712962962963" style="208" customWidth="1"/>
    <col min="12808" max="12808" width="21.1388888888889" style="208" customWidth="1"/>
    <col min="12809" max="12809" width="4.42592592592593" style="208" customWidth="1"/>
    <col min="12810" max="13055" width="11.4259259259259" style="208"/>
    <col min="13056" max="13056" width="4.57407407407407" style="208" customWidth="1"/>
    <col min="13057" max="13057" width="47.287037037037" style="208" customWidth="1"/>
    <col min="13058" max="13058" width="5" style="208" customWidth="1"/>
    <col min="13059" max="13060" width="9.42592592592593" style="208" customWidth="1"/>
    <col min="13061" max="13061" width="8.28703703703704" style="208" customWidth="1"/>
    <col min="13062" max="13062" width="22.5740740740741" style="208" customWidth="1"/>
    <col min="13063" max="13063" width="13.712962962963" style="208" customWidth="1"/>
    <col min="13064" max="13064" width="21.1388888888889" style="208" customWidth="1"/>
    <col min="13065" max="13065" width="4.42592592592593" style="208" customWidth="1"/>
    <col min="13066" max="13311" width="11.4259259259259" style="208"/>
    <col min="13312" max="13312" width="4.57407407407407" style="208" customWidth="1"/>
    <col min="13313" max="13313" width="47.287037037037" style="208" customWidth="1"/>
    <col min="13314" max="13314" width="5" style="208" customWidth="1"/>
    <col min="13315" max="13316" width="9.42592592592593" style="208" customWidth="1"/>
    <col min="13317" max="13317" width="8.28703703703704" style="208" customWidth="1"/>
    <col min="13318" max="13318" width="22.5740740740741" style="208" customWidth="1"/>
    <col min="13319" max="13319" width="13.712962962963" style="208" customWidth="1"/>
    <col min="13320" max="13320" width="21.1388888888889" style="208" customWidth="1"/>
    <col min="13321" max="13321" width="4.42592592592593" style="208" customWidth="1"/>
    <col min="13322" max="13567" width="11.4259259259259" style="208"/>
    <col min="13568" max="13568" width="4.57407407407407" style="208" customWidth="1"/>
    <col min="13569" max="13569" width="47.287037037037" style="208" customWidth="1"/>
    <col min="13570" max="13570" width="5" style="208" customWidth="1"/>
    <col min="13571" max="13572" width="9.42592592592593" style="208" customWidth="1"/>
    <col min="13573" max="13573" width="8.28703703703704" style="208" customWidth="1"/>
    <col min="13574" max="13574" width="22.5740740740741" style="208" customWidth="1"/>
    <col min="13575" max="13575" width="13.712962962963" style="208" customWidth="1"/>
    <col min="13576" max="13576" width="21.1388888888889" style="208" customWidth="1"/>
    <col min="13577" max="13577" width="4.42592592592593" style="208" customWidth="1"/>
    <col min="13578" max="13823" width="11.4259259259259" style="208"/>
    <col min="13824" max="13824" width="4.57407407407407" style="208" customWidth="1"/>
    <col min="13825" max="13825" width="47.287037037037" style="208" customWidth="1"/>
    <col min="13826" max="13826" width="5" style="208" customWidth="1"/>
    <col min="13827" max="13828" width="9.42592592592593" style="208" customWidth="1"/>
    <col min="13829" max="13829" width="8.28703703703704" style="208" customWidth="1"/>
    <col min="13830" max="13830" width="22.5740740740741" style="208" customWidth="1"/>
    <col min="13831" max="13831" width="13.712962962963" style="208" customWidth="1"/>
    <col min="13832" max="13832" width="21.1388888888889" style="208" customWidth="1"/>
    <col min="13833" max="13833" width="4.42592592592593" style="208" customWidth="1"/>
    <col min="13834" max="14079" width="11.4259259259259" style="208"/>
    <col min="14080" max="14080" width="4.57407407407407" style="208" customWidth="1"/>
    <col min="14081" max="14081" width="47.287037037037" style="208" customWidth="1"/>
    <col min="14082" max="14082" width="5" style="208" customWidth="1"/>
    <col min="14083" max="14084" width="9.42592592592593" style="208" customWidth="1"/>
    <col min="14085" max="14085" width="8.28703703703704" style="208" customWidth="1"/>
    <col min="14086" max="14086" width="22.5740740740741" style="208" customWidth="1"/>
    <col min="14087" max="14087" width="13.712962962963" style="208" customWidth="1"/>
    <col min="14088" max="14088" width="21.1388888888889" style="208" customWidth="1"/>
    <col min="14089" max="14089" width="4.42592592592593" style="208" customWidth="1"/>
    <col min="14090" max="14335" width="11.4259259259259" style="208"/>
    <col min="14336" max="14336" width="4.57407407407407" style="208" customWidth="1"/>
    <col min="14337" max="14337" width="47.287037037037" style="208" customWidth="1"/>
    <col min="14338" max="14338" width="5" style="208" customWidth="1"/>
    <col min="14339" max="14340" width="9.42592592592593" style="208" customWidth="1"/>
    <col min="14341" max="14341" width="8.28703703703704" style="208" customWidth="1"/>
    <col min="14342" max="14342" width="22.5740740740741" style="208" customWidth="1"/>
    <col min="14343" max="14343" width="13.712962962963" style="208" customWidth="1"/>
    <col min="14344" max="14344" width="21.1388888888889" style="208" customWidth="1"/>
    <col min="14345" max="14345" width="4.42592592592593" style="208" customWidth="1"/>
    <col min="14346" max="14591" width="11.4259259259259" style="208"/>
    <col min="14592" max="14592" width="4.57407407407407" style="208" customWidth="1"/>
    <col min="14593" max="14593" width="47.287037037037" style="208" customWidth="1"/>
    <col min="14594" max="14594" width="5" style="208" customWidth="1"/>
    <col min="14595" max="14596" width="9.42592592592593" style="208" customWidth="1"/>
    <col min="14597" max="14597" width="8.28703703703704" style="208" customWidth="1"/>
    <col min="14598" max="14598" width="22.5740740740741" style="208" customWidth="1"/>
    <col min="14599" max="14599" width="13.712962962963" style="208" customWidth="1"/>
    <col min="14600" max="14600" width="21.1388888888889" style="208" customWidth="1"/>
    <col min="14601" max="14601" width="4.42592592592593" style="208" customWidth="1"/>
    <col min="14602" max="14847" width="11.4259259259259" style="208"/>
    <col min="14848" max="14848" width="4.57407407407407" style="208" customWidth="1"/>
    <col min="14849" max="14849" width="47.287037037037" style="208" customWidth="1"/>
    <col min="14850" max="14850" width="5" style="208" customWidth="1"/>
    <col min="14851" max="14852" width="9.42592592592593" style="208" customWidth="1"/>
    <col min="14853" max="14853" width="8.28703703703704" style="208" customWidth="1"/>
    <col min="14854" max="14854" width="22.5740740740741" style="208" customWidth="1"/>
    <col min="14855" max="14855" width="13.712962962963" style="208" customWidth="1"/>
    <col min="14856" max="14856" width="21.1388888888889" style="208" customWidth="1"/>
    <col min="14857" max="14857" width="4.42592592592593" style="208" customWidth="1"/>
    <col min="14858" max="15103" width="11.4259259259259" style="208"/>
    <col min="15104" max="15104" width="4.57407407407407" style="208" customWidth="1"/>
    <col min="15105" max="15105" width="47.287037037037" style="208" customWidth="1"/>
    <col min="15106" max="15106" width="5" style="208" customWidth="1"/>
    <col min="15107" max="15108" width="9.42592592592593" style="208" customWidth="1"/>
    <col min="15109" max="15109" width="8.28703703703704" style="208" customWidth="1"/>
    <col min="15110" max="15110" width="22.5740740740741" style="208" customWidth="1"/>
    <col min="15111" max="15111" width="13.712962962963" style="208" customWidth="1"/>
    <col min="15112" max="15112" width="21.1388888888889" style="208" customWidth="1"/>
    <col min="15113" max="15113" width="4.42592592592593" style="208" customWidth="1"/>
    <col min="15114" max="15359" width="11.4259259259259" style="208"/>
    <col min="15360" max="15360" width="4.57407407407407" style="208" customWidth="1"/>
    <col min="15361" max="15361" width="47.287037037037" style="208" customWidth="1"/>
    <col min="15362" max="15362" width="5" style="208" customWidth="1"/>
    <col min="15363" max="15364" width="9.42592592592593" style="208" customWidth="1"/>
    <col min="15365" max="15365" width="8.28703703703704" style="208" customWidth="1"/>
    <col min="15366" max="15366" width="22.5740740740741" style="208" customWidth="1"/>
    <col min="15367" max="15367" width="13.712962962963" style="208" customWidth="1"/>
    <col min="15368" max="15368" width="21.1388888888889" style="208" customWidth="1"/>
    <col min="15369" max="15369" width="4.42592592592593" style="208" customWidth="1"/>
    <col min="15370" max="15615" width="11.4259259259259" style="208"/>
    <col min="15616" max="15616" width="4.57407407407407" style="208" customWidth="1"/>
    <col min="15617" max="15617" width="47.287037037037" style="208" customWidth="1"/>
    <col min="15618" max="15618" width="5" style="208" customWidth="1"/>
    <col min="15619" max="15620" width="9.42592592592593" style="208" customWidth="1"/>
    <col min="15621" max="15621" width="8.28703703703704" style="208" customWidth="1"/>
    <col min="15622" max="15622" width="22.5740740740741" style="208" customWidth="1"/>
    <col min="15623" max="15623" width="13.712962962963" style="208" customWidth="1"/>
    <col min="15624" max="15624" width="21.1388888888889" style="208" customWidth="1"/>
    <col min="15625" max="15625" width="4.42592592592593" style="208" customWidth="1"/>
    <col min="15626" max="15871" width="11.4259259259259" style="208"/>
    <col min="15872" max="15872" width="4.57407407407407" style="208" customWidth="1"/>
    <col min="15873" max="15873" width="47.287037037037" style="208" customWidth="1"/>
    <col min="15874" max="15874" width="5" style="208" customWidth="1"/>
    <col min="15875" max="15876" width="9.42592592592593" style="208" customWidth="1"/>
    <col min="15877" max="15877" width="8.28703703703704" style="208" customWidth="1"/>
    <col min="15878" max="15878" width="22.5740740740741" style="208" customWidth="1"/>
    <col min="15879" max="15879" width="13.712962962963" style="208" customWidth="1"/>
    <col min="15880" max="15880" width="21.1388888888889" style="208" customWidth="1"/>
    <col min="15881" max="15881" width="4.42592592592593" style="208" customWidth="1"/>
    <col min="15882" max="16127" width="11.4259259259259" style="208"/>
    <col min="16128" max="16128" width="4.57407407407407" style="208" customWidth="1"/>
    <col min="16129" max="16129" width="47.287037037037" style="208" customWidth="1"/>
    <col min="16130" max="16130" width="5" style="208" customWidth="1"/>
    <col min="16131" max="16132" width="9.42592592592593" style="208" customWidth="1"/>
    <col min="16133" max="16133" width="8.28703703703704" style="208" customWidth="1"/>
    <col min="16134" max="16134" width="22.5740740740741" style="208" customWidth="1"/>
    <col min="16135" max="16135" width="13.712962962963" style="208" customWidth="1"/>
    <col min="16136" max="16136" width="21.1388888888889" style="208" customWidth="1"/>
    <col min="16137" max="16137" width="4.42592592592593" style="208" customWidth="1"/>
    <col min="16138" max="16384" width="11.4259259259259" style="208"/>
  </cols>
  <sheetData>
    <row r="1" customFormat="1" ht="30" customHeight="1" spans="1:9">
      <c r="A1" s="215" t="s">
        <v>149</v>
      </c>
      <c r="B1" s="215"/>
      <c r="C1" s="215"/>
      <c r="D1" s="215"/>
      <c r="E1" s="215"/>
      <c r="F1" s="215"/>
      <c r="G1" s="215"/>
      <c r="H1" s="215"/>
      <c r="I1" s="61"/>
    </row>
    <row r="2" customFormat="1" ht="15" customHeight="1" spans="1:9">
      <c r="A2" s="215"/>
      <c r="B2" s="215"/>
      <c r="C2" s="215"/>
      <c r="D2" s="215"/>
      <c r="E2" s="215"/>
      <c r="F2" s="215"/>
      <c r="G2" s="215"/>
      <c r="H2" s="215"/>
      <c r="I2" s="61"/>
    </row>
    <row r="3" customFormat="1" ht="15" customHeight="1" spans="1:9">
      <c r="A3" s="215"/>
      <c r="B3" s="215"/>
      <c r="C3" s="215"/>
      <c r="D3" s="215"/>
      <c r="E3" s="215"/>
      <c r="F3" s="215"/>
      <c r="G3" s="215"/>
      <c r="H3" s="215"/>
      <c r="I3" s="61"/>
    </row>
    <row r="4" customFormat="1" ht="15" customHeight="1" spans="1:9">
      <c r="A4" s="215"/>
      <c r="B4" s="215"/>
      <c r="C4" s="215"/>
      <c r="D4" s="215"/>
      <c r="E4" s="215"/>
      <c r="F4" s="215"/>
      <c r="G4" s="215"/>
      <c r="H4" s="215"/>
      <c r="I4" s="166"/>
    </row>
    <row r="5" ht="24.75" customHeight="1" spans="1:9">
      <c r="A5" s="216"/>
      <c r="B5" s="217"/>
      <c r="C5" s="217"/>
      <c r="D5" s="217"/>
      <c r="E5" s="217"/>
      <c r="F5" s="217"/>
      <c r="G5" s="217"/>
      <c r="H5" s="218"/>
      <c r="I5" s="245"/>
    </row>
    <row r="6" ht="22.5" customHeight="1" spans="1:9">
      <c r="A6" s="219" t="s">
        <v>150</v>
      </c>
      <c r="B6" s="220" t="s">
        <v>151</v>
      </c>
      <c r="C6" s="220" t="s">
        <v>152</v>
      </c>
      <c r="D6" s="220" t="s">
        <v>153</v>
      </c>
      <c r="E6" s="221" t="s">
        <v>154</v>
      </c>
      <c r="F6" s="222" t="s">
        <v>155</v>
      </c>
      <c r="G6" s="223" t="s">
        <v>156</v>
      </c>
      <c r="H6" s="224" t="s">
        <v>157</v>
      </c>
      <c r="I6" s="246" t="s">
        <v>65</v>
      </c>
    </row>
    <row r="7" s="205" customFormat="1" ht="16.35" spans="1:9">
      <c r="A7" s="225"/>
      <c r="B7" s="226"/>
      <c r="C7" s="227"/>
      <c r="D7" s="227"/>
      <c r="E7" s="227"/>
      <c r="F7" s="228"/>
      <c r="G7" s="229"/>
      <c r="H7" s="230"/>
      <c r="I7" s="247"/>
    </row>
    <row r="8" s="205" customFormat="1" spans="1:9">
      <c r="A8" s="231" t="s">
        <v>158</v>
      </c>
      <c r="B8" s="226"/>
      <c r="C8" s="227"/>
      <c r="D8" s="227"/>
      <c r="E8" s="227"/>
      <c r="F8" s="228"/>
      <c r="G8" s="229"/>
      <c r="H8" s="230"/>
      <c r="I8" s="247"/>
    </row>
    <row r="9" s="205" customFormat="1" spans="1:9">
      <c r="A9" s="225" t="s">
        <v>159</v>
      </c>
      <c r="B9" s="226">
        <v>1</v>
      </c>
      <c r="C9" s="227">
        <v>0</v>
      </c>
      <c r="D9" s="227">
        <v>0</v>
      </c>
      <c r="E9" s="227">
        <v>0</v>
      </c>
      <c r="F9" s="228">
        <v>1</v>
      </c>
      <c r="G9" s="229">
        <f t="shared" ref="G9:G18" si="0">ROUND(E9*D9*C9*B9*F9,2)</f>
        <v>0</v>
      </c>
      <c r="H9" s="230">
        <f>G9</f>
        <v>0</v>
      </c>
      <c r="I9" s="247"/>
    </row>
    <row r="10" s="206" customFormat="1" ht="13.8" spans="1:19">
      <c r="A10" s="232"/>
      <c r="B10" s="226">
        <v>1</v>
      </c>
      <c r="C10" s="233"/>
      <c r="D10" s="233"/>
      <c r="E10" s="233"/>
      <c r="F10" s="234"/>
      <c r="G10" s="235"/>
      <c r="H10" s="235"/>
      <c r="I10" s="248"/>
      <c r="J10" s="249" t="s">
        <v>160</v>
      </c>
      <c r="K10" s="249" t="s">
        <v>161</v>
      </c>
      <c r="L10" s="249" t="s">
        <v>162</v>
      </c>
      <c r="M10" s="249"/>
      <c r="N10" s="249" t="s">
        <v>163</v>
      </c>
      <c r="P10" s="249" t="s">
        <v>160</v>
      </c>
      <c r="Q10" s="249" t="s">
        <v>164</v>
      </c>
      <c r="R10" s="249" t="s">
        <v>162</v>
      </c>
      <c r="S10" s="249" t="s">
        <v>163</v>
      </c>
    </row>
    <row r="11" s="205" customFormat="1" ht="13.8" spans="1:19">
      <c r="A11" s="231" t="s">
        <v>165</v>
      </c>
      <c r="B11" s="226">
        <v>1</v>
      </c>
      <c r="C11" s="227"/>
      <c r="D11" s="227"/>
      <c r="E11" s="227"/>
      <c r="F11" s="228"/>
      <c r="G11" s="229"/>
      <c r="H11" s="236"/>
      <c r="I11" s="250"/>
      <c r="J11" s="251">
        <v>2</v>
      </c>
      <c r="K11" s="251">
        <v>2.98</v>
      </c>
      <c r="L11" s="251">
        <v>0.05</v>
      </c>
      <c r="M11" s="251"/>
      <c r="N11" s="251">
        <f>(K11-L11)*J11</f>
        <v>5.86</v>
      </c>
      <c r="P11" s="251">
        <v>1</v>
      </c>
      <c r="Q11" s="251">
        <v>5.9</v>
      </c>
      <c r="R11" s="252">
        <v>0.1</v>
      </c>
      <c r="S11" s="251">
        <f>(Q11-R11)*P11</f>
        <v>5.8</v>
      </c>
    </row>
    <row r="12" s="205" customFormat="1" spans="1:19">
      <c r="A12" s="225" t="s">
        <v>166</v>
      </c>
      <c r="B12" s="226">
        <v>3</v>
      </c>
      <c r="C12" s="227">
        <f>1.3+0.1</f>
        <v>1.4</v>
      </c>
      <c r="D12" s="227">
        <f>1.7+0.1</f>
        <v>1.8</v>
      </c>
      <c r="E12" s="227">
        <v>1.5</v>
      </c>
      <c r="F12" s="228">
        <v>1</v>
      </c>
      <c r="G12" s="229">
        <f>ROUND(E12*D12*C12*B12*F12,2)</f>
        <v>11.34</v>
      </c>
      <c r="H12" s="230"/>
      <c r="I12" s="247"/>
      <c r="J12" s="251">
        <v>2</v>
      </c>
      <c r="K12" s="251">
        <v>2.07</v>
      </c>
      <c r="L12" s="251">
        <v>0.05</v>
      </c>
      <c r="M12" s="251"/>
      <c r="N12" s="251">
        <f t="shared" ref="N12:N16" si="1">(K12-L12)*J12</f>
        <v>4.04</v>
      </c>
      <c r="P12" s="251">
        <v>1</v>
      </c>
      <c r="Q12" s="251">
        <v>5.7</v>
      </c>
      <c r="R12" s="252">
        <v>0.1</v>
      </c>
      <c r="S12" s="251">
        <f>(Q12-R12)*P12</f>
        <v>5.6</v>
      </c>
    </row>
    <row r="13" s="205" customFormat="1" spans="1:19">
      <c r="A13" s="225" t="s">
        <v>167</v>
      </c>
      <c r="B13" s="226">
        <v>2</v>
      </c>
      <c r="C13" s="227">
        <f>1.5+0.1</f>
        <v>1.6</v>
      </c>
      <c r="D13" s="227">
        <f>1.5+0.1</f>
        <v>1.6</v>
      </c>
      <c r="E13" s="227">
        <v>1.5</v>
      </c>
      <c r="F13" s="228">
        <v>1</v>
      </c>
      <c r="G13" s="229">
        <f t="shared" si="0"/>
        <v>7.68</v>
      </c>
      <c r="H13" s="230"/>
      <c r="I13" s="247"/>
      <c r="J13" s="251">
        <v>2</v>
      </c>
      <c r="K13" s="251">
        <v>2.49</v>
      </c>
      <c r="L13" s="252">
        <v>0.1</v>
      </c>
      <c r="M13" s="251"/>
      <c r="N13" s="251">
        <f t="shared" si="1"/>
        <v>4.78</v>
      </c>
      <c r="P13" s="251">
        <v>1</v>
      </c>
      <c r="Q13" s="251">
        <v>6</v>
      </c>
      <c r="R13" s="252">
        <v>0.1</v>
      </c>
      <c r="S13" s="251">
        <f>(Q13-R13)*P13</f>
        <v>5.9</v>
      </c>
    </row>
    <row r="14" s="205" customFormat="1" spans="1:19">
      <c r="A14" s="225" t="s">
        <v>168</v>
      </c>
      <c r="B14" s="226">
        <v>3</v>
      </c>
      <c r="C14" s="227">
        <f>1.5+0.1</f>
        <v>1.6</v>
      </c>
      <c r="D14" s="227">
        <f>2.2+0.1</f>
        <v>2.3</v>
      </c>
      <c r="E14" s="227">
        <v>1.5</v>
      </c>
      <c r="F14" s="228">
        <v>1</v>
      </c>
      <c r="G14" s="229">
        <f t="shared" si="0"/>
        <v>16.56</v>
      </c>
      <c r="H14" s="230"/>
      <c r="I14" s="247"/>
      <c r="J14" s="251">
        <v>2</v>
      </c>
      <c r="K14" s="251">
        <v>4.8</v>
      </c>
      <c r="L14" s="252">
        <v>0.1</v>
      </c>
      <c r="M14" s="251"/>
      <c r="N14" s="251">
        <f t="shared" si="1"/>
        <v>9.4</v>
      </c>
      <c r="P14" s="251">
        <v>1</v>
      </c>
      <c r="Q14" s="251">
        <v>6.2</v>
      </c>
      <c r="R14" s="251">
        <v>0</v>
      </c>
      <c r="S14" s="251">
        <f>(Q14-R14)*P14</f>
        <v>6.2</v>
      </c>
    </row>
    <row r="15" s="205" customFormat="1" spans="1:19">
      <c r="A15" s="225" t="s">
        <v>169</v>
      </c>
      <c r="B15" s="226">
        <v>2</v>
      </c>
      <c r="C15" s="227">
        <f>1.2+0.1</f>
        <v>1.3</v>
      </c>
      <c r="D15" s="227">
        <f>1.6+0.1</f>
        <v>1.7</v>
      </c>
      <c r="E15" s="227">
        <v>1.5</v>
      </c>
      <c r="F15" s="228">
        <v>1</v>
      </c>
      <c r="G15" s="229">
        <f t="shared" si="0"/>
        <v>6.63</v>
      </c>
      <c r="H15" s="230"/>
      <c r="I15" s="247"/>
      <c r="J15" s="251">
        <v>2</v>
      </c>
      <c r="K15" s="251">
        <v>1.99</v>
      </c>
      <c r="L15" s="252">
        <v>0.1</v>
      </c>
      <c r="M15" s="251"/>
      <c r="N15" s="251">
        <f t="shared" si="1"/>
        <v>3.78</v>
      </c>
      <c r="Q15" s="251"/>
      <c r="R15" s="251"/>
      <c r="S15" s="253">
        <f>SUM(S11:S14)</f>
        <v>23.5</v>
      </c>
    </row>
    <row r="16" s="205" customFormat="1" spans="1:19">
      <c r="A16" s="225"/>
      <c r="B16" s="226"/>
      <c r="C16" s="227"/>
      <c r="D16" s="227"/>
      <c r="E16" s="227"/>
      <c r="F16" s="228"/>
      <c r="G16" s="229"/>
      <c r="H16" s="230"/>
      <c r="I16" s="247"/>
      <c r="J16" s="251">
        <v>2</v>
      </c>
      <c r="K16" s="251">
        <v>2.46</v>
      </c>
      <c r="L16" s="252">
        <v>0.1</v>
      </c>
      <c r="M16" s="251"/>
      <c r="N16" s="251">
        <f t="shared" si="1"/>
        <v>4.72</v>
      </c>
      <c r="Q16" s="251"/>
      <c r="R16" s="251"/>
      <c r="S16" s="253"/>
    </row>
    <row r="17" s="205" customFormat="1" spans="1:9">
      <c r="A17" s="225" t="s">
        <v>170</v>
      </c>
      <c r="B17" s="226">
        <v>1</v>
      </c>
      <c r="C17" s="227">
        <v>32.58</v>
      </c>
      <c r="D17" s="227">
        <v>0.4</v>
      </c>
      <c r="E17" s="227">
        <v>1.2</v>
      </c>
      <c r="F17" s="228">
        <v>1</v>
      </c>
      <c r="G17" s="229">
        <f t="shared" si="0"/>
        <v>15.64</v>
      </c>
      <c r="H17" s="230"/>
      <c r="I17" s="247"/>
    </row>
    <row r="18" s="205" customFormat="1" spans="1:14">
      <c r="A18" s="225" t="s">
        <v>171</v>
      </c>
      <c r="B18" s="226">
        <v>1</v>
      </c>
      <c r="C18" s="227">
        <v>23.5</v>
      </c>
      <c r="D18" s="227">
        <f>0.4+0.1</f>
        <v>0.5</v>
      </c>
      <c r="E18" s="227">
        <v>0.45</v>
      </c>
      <c r="F18" s="228">
        <v>1</v>
      </c>
      <c r="G18" s="229">
        <f t="shared" si="0"/>
        <v>5.29</v>
      </c>
      <c r="H18" s="230"/>
      <c r="I18" s="247"/>
      <c r="K18" s="251"/>
      <c r="L18" s="251"/>
      <c r="M18" s="251"/>
      <c r="N18" s="253">
        <f>SUM(N11:N16)</f>
        <v>32.58</v>
      </c>
    </row>
    <row r="19" s="205" customFormat="1" spans="1:9">
      <c r="A19" s="225"/>
      <c r="B19" s="226"/>
      <c r="C19" s="227"/>
      <c r="D19" s="227"/>
      <c r="E19" s="227"/>
      <c r="F19" s="228"/>
      <c r="G19" s="229"/>
      <c r="H19" s="237">
        <f>SUM(G11:G19)</f>
        <v>63.14</v>
      </c>
      <c r="I19" s="254" t="s">
        <v>79</v>
      </c>
    </row>
    <row r="20" s="205" customFormat="1" spans="1:9">
      <c r="A20" s="231" t="s">
        <v>172</v>
      </c>
      <c r="B20" s="226"/>
      <c r="C20" s="227"/>
      <c r="D20" s="227"/>
      <c r="E20" s="227"/>
      <c r="F20" s="228"/>
      <c r="G20" s="229"/>
      <c r="H20" s="237"/>
      <c r="I20" s="254"/>
    </row>
    <row r="21" s="205" customFormat="1" spans="1:9">
      <c r="A21" s="225" t="s">
        <v>173</v>
      </c>
      <c r="B21" s="226"/>
      <c r="C21" s="227"/>
      <c r="D21" s="227"/>
      <c r="E21" s="227"/>
      <c r="F21" s="228"/>
      <c r="G21" s="229"/>
      <c r="H21" s="237"/>
      <c r="I21" s="254"/>
    </row>
    <row r="22" s="205" customFormat="1" spans="1:9">
      <c r="A22" s="225" t="s">
        <v>174</v>
      </c>
      <c r="B22" s="226">
        <v>1</v>
      </c>
      <c r="C22" s="227">
        <f>H19</f>
        <v>63.14</v>
      </c>
      <c r="D22" s="227">
        <f>H31+H40+H49+H53+H66+H71</f>
        <v>39.69</v>
      </c>
      <c r="E22" s="227"/>
      <c r="F22" s="228"/>
      <c r="G22" s="229">
        <f>C22-D22</f>
        <v>23.45</v>
      </c>
      <c r="H22" s="237"/>
      <c r="I22" s="254"/>
    </row>
    <row r="23" s="205" customFormat="1" spans="1:14">
      <c r="A23" s="225"/>
      <c r="B23" s="226"/>
      <c r="C23" s="227"/>
      <c r="D23" s="227"/>
      <c r="E23" s="227"/>
      <c r="F23" s="228"/>
      <c r="G23" s="229"/>
      <c r="H23" s="237"/>
      <c r="I23" s="254"/>
      <c r="K23" s="251"/>
      <c r="L23" s="251"/>
      <c r="M23" s="251"/>
      <c r="N23" s="251"/>
    </row>
    <row r="24" s="205" customFormat="1" spans="1:14">
      <c r="A24" s="225"/>
      <c r="B24" s="226"/>
      <c r="C24" s="227"/>
      <c r="D24" s="227"/>
      <c r="E24" s="227"/>
      <c r="F24" s="228"/>
      <c r="G24" s="229"/>
      <c r="H24" s="237">
        <f>SUM(G21:G23)</f>
        <v>23.45</v>
      </c>
      <c r="I24" s="254" t="s">
        <v>79</v>
      </c>
      <c r="K24" s="251"/>
      <c r="L24" s="251"/>
      <c r="M24" s="251"/>
      <c r="N24" s="251"/>
    </row>
    <row r="25" s="205" customFormat="1" spans="1:14">
      <c r="A25" s="231" t="s">
        <v>175</v>
      </c>
      <c r="B25" s="226"/>
      <c r="C25" s="227"/>
      <c r="D25" s="227"/>
      <c r="E25" s="227"/>
      <c r="F25" s="228"/>
      <c r="G25" s="229"/>
      <c r="H25" s="237"/>
      <c r="I25" s="254"/>
      <c r="K25" s="251"/>
      <c r="L25" s="251"/>
      <c r="M25" s="251"/>
      <c r="N25" s="251"/>
    </row>
    <row r="26" s="205" customFormat="1" spans="1:14">
      <c r="A26" s="225" t="s">
        <v>176</v>
      </c>
      <c r="B26" s="226">
        <v>2</v>
      </c>
      <c r="C26" s="227">
        <v>0.4</v>
      </c>
      <c r="D26" s="227">
        <v>0.4</v>
      </c>
      <c r="E26" s="227">
        <v>0.4</v>
      </c>
      <c r="F26" s="228">
        <v>1</v>
      </c>
      <c r="G26" s="229">
        <f>ROUND(E26*D26*C26*B26*F26,2)</f>
        <v>0.13</v>
      </c>
      <c r="H26" s="237"/>
      <c r="I26" s="254"/>
      <c r="K26" s="251"/>
      <c r="L26" s="251"/>
      <c r="M26" s="251"/>
      <c r="N26" s="251"/>
    </row>
    <row r="27" s="205" customFormat="1" spans="1:14">
      <c r="A27" s="225" t="s">
        <v>166</v>
      </c>
      <c r="B27" s="226">
        <v>3</v>
      </c>
      <c r="C27" s="227">
        <f>1.3+0.1</f>
        <v>1.4</v>
      </c>
      <c r="D27" s="227">
        <f>1.7+0.1</f>
        <v>1.8</v>
      </c>
      <c r="E27" s="227">
        <v>0.2</v>
      </c>
      <c r="F27" s="228">
        <v>1</v>
      </c>
      <c r="G27" s="229">
        <f>ROUND(E27*D27*C27*B27*F27,2)</f>
        <v>1.51</v>
      </c>
      <c r="H27" s="237"/>
      <c r="I27" s="254"/>
      <c r="K27" s="251"/>
      <c r="L27" s="251"/>
      <c r="M27" s="251"/>
      <c r="N27" s="251"/>
    </row>
    <row r="28" s="205" customFormat="1" spans="1:14">
      <c r="A28" s="225" t="s">
        <v>167</v>
      </c>
      <c r="B28" s="226">
        <v>2</v>
      </c>
      <c r="C28" s="227">
        <f>1.5+0.1</f>
        <v>1.6</v>
      </c>
      <c r="D28" s="227">
        <f>1.5+0.1</f>
        <v>1.6</v>
      </c>
      <c r="E28" s="227">
        <v>0.2</v>
      </c>
      <c r="F28" s="228">
        <v>1</v>
      </c>
      <c r="G28" s="229">
        <f>ROUND(E28*D28*C28*B28*F28,2)</f>
        <v>1.02</v>
      </c>
      <c r="H28" s="237"/>
      <c r="I28" s="254"/>
      <c r="K28" s="251"/>
      <c r="L28" s="251"/>
      <c r="M28" s="251"/>
      <c r="N28" s="251"/>
    </row>
    <row r="29" s="205" customFormat="1" spans="1:13">
      <c r="A29" s="225" t="s">
        <v>168</v>
      </c>
      <c r="B29" s="226">
        <v>3</v>
      </c>
      <c r="C29" s="227">
        <f>1.5+0.1</f>
        <v>1.6</v>
      </c>
      <c r="D29" s="227">
        <f>2.2+0.1</f>
        <v>2.3</v>
      </c>
      <c r="E29" s="227">
        <v>0.2</v>
      </c>
      <c r="F29" s="228">
        <v>1</v>
      </c>
      <c r="G29" s="229">
        <f>ROUND(E29*D29*C29*B29*F29,2)</f>
        <v>2.21</v>
      </c>
      <c r="H29" s="237"/>
      <c r="I29" s="254"/>
      <c r="K29" s="251"/>
      <c r="L29" s="251"/>
      <c r="M29" s="251"/>
    </row>
    <row r="30" s="205" customFormat="1" spans="1:13">
      <c r="A30" s="225" t="s">
        <v>169</v>
      </c>
      <c r="B30" s="226">
        <v>2</v>
      </c>
      <c r="C30" s="227">
        <f>1.2+0.1</f>
        <v>1.3</v>
      </c>
      <c r="D30" s="227">
        <f>1.6+0.1</f>
        <v>1.7</v>
      </c>
      <c r="E30" s="227">
        <v>0.2</v>
      </c>
      <c r="F30" s="228">
        <v>1</v>
      </c>
      <c r="G30" s="229">
        <f>ROUND(E30*D30*C30*B30*F30,2)</f>
        <v>0.88</v>
      </c>
      <c r="H30" s="230"/>
      <c r="I30" s="255"/>
      <c r="K30" s="251"/>
      <c r="L30" s="251"/>
      <c r="M30" s="251"/>
    </row>
    <row r="31" s="205" customFormat="1" spans="1:9">
      <c r="A31" s="225"/>
      <c r="B31" s="226"/>
      <c r="C31" s="227"/>
      <c r="D31" s="227"/>
      <c r="E31" s="227"/>
      <c r="F31" s="228"/>
      <c r="G31" s="229"/>
      <c r="H31" s="237">
        <f>SUM(G25:G30)</f>
        <v>5.75</v>
      </c>
      <c r="I31" s="254" t="s">
        <v>79</v>
      </c>
    </row>
    <row r="32" s="205" customFormat="1" ht="13.8" spans="1:9">
      <c r="A32" s="231" t="s">
        <v>177</v>
      </c>
      <c r="B32" s="226">
        <v>1</v>
      </c>
      <c r="C32" s="227"/>
      <c r="D32" s="227"/>
      <c r="E32" s="227"/>
      <c r="F32" s="228"/>
      <c r="G32" s="229"/>
      <c r="H32" s="238"/>
      <c r="I32" s="256"/>
    </row>
    <row r="33" s="205" customFormat="1" ht="13.8" spans="1:9">
      <c r="A33" s="225" t="s">
        <v>178</v>
      </c>
      <c r="B33" s="226">
        <v>1</v>
      </c>
      <c r="C33" s="227"/>
      <c r="D33" s="227"/>
      <c r="E33" s="227"/>
      <c r="F33" s="228"/>
      <c r="G33" s="229"/>
      <c r="H33" s="238"/>
      <c r="I33" s="256"/>
    </row>
    <row r="34" s="205" customFormat="1" ht="13.8" spans="1:9">
      <c r="A34" s="225" t="s">
        <v>166</v>
      </c>
      <c r="B34" s="226">
        <v>3</v>
      </c>
      <c r="C34" s="227">
        <v>1.9</v>
      </c>
      <c r="D34" s="227">
        <v>1.5</v>
      </c>
      <c r="E34" s="227">
        <v>0.1</v>
      </c>
      <c r="F34" s="228">
        <v>1</v>
      </c>
      <c r="G34" s="229"/>
      <c r="H34" s="238"/>
      <c r="I34" s="256"/>
    </row>
    <row r="35" s="205" customFormat="1" ht="13.8" spans="1:9">
      <c r="A35" s="225" t="s">
        <v>167</v>
      </c>
      <c r="B35" s="226">
        <v>2</v>
      </c>
      <c r="C35" s="227">
        <v>1.7</v>
      </c>
      <c r="D35" s="227">
        <v>1.7</v>
      </c>
      <c r="E35" s="227">
        <v>0.1</v>
      </c>
      <c r="F35" s="228">
        <v>1</v>
      </c>
      <c r="G35" s="229"/>
      <c r="H35" s="238"/>
      <c r="I35" s="256"/>
    </row>
    <row r="36" s="205" customFormat="1" ht="13.8" spans="1:9">
      <c r="A36" s="225" t="s">
        <v>168</v>
      </c>
      <c r="B36" s="226">
        <v>3</v>
      </c>
      <c r="C36" s="227">
        <v>2.4</v>
      </c>
      <c r="D36" s="227">
        <v>1.7</v>
      </c>
      <c r="E36" s="227">
        <v>0.1</v>
      </c>
      <c r="F36" s="228">
        <v>1</v>
      </c>
      <c r="G36" s="229"/>
      <c r="H36" s="238"/>
      <c r="I36" s="256"/>
    </row>
    <row r="37" s="205" customFormat="1" spans="1:9">
      <c r="A37" s="225" t="s">
        <v>169</v>
      </c>
      <c r="B37" s="226">
        <v>2</v>
      </c>
      <c r="C37" s="227">
        <v>1.8</v>
      </c>
      <c r="D37" s="227">
        <v>1.4</v>
      </c>
      <c r="E37" s="227">
        <v>0.1</v>
      </c>
      <c r="F37" s="228">
        <v>1</v>
      </c>
      <c r="G37" s="229"/>
      <c r="H37" s="237"/>
      <c r="I37" s="254"/>
    </row>
    <row r="38" s="205" customFormat="1" spans="1:9">
      <c r="A38" s="225" t="s">
        <v>170</v>
      </c>
      <c r="B38" s="226">
        <v>1</v>
      </c>
      <c r="C38" s="227">
        <v>32.58</v>
      </c>
      <c r="D38" s="227">
        <v>0.4</v>
      </c>
      <c r="E38" s="227">
        <v>0.05</v>
      </c>
      <c r="F38" s="228">
        <v>1</v>
      </c>
      <c r="G38" s="229">
        <f t="shared" ref="G38:G39" si="2">ROUND(E38*D38*C38*B38*F38,2)</f>
        <v>0.65</v>
      </c>
      <c r="H38" s="237"/>
      <c r="I38" s="254"/>
    </row>
    <row r="39" s="205" customFormat="1" spans="1:9">
      <c r="A39" s="225" t="s">
        <v>171</v>
      </c>
      <c r="B39" s="226">
        <v>1</v>
      </c>
      <c r="C39" s="227">
        <v>23.5</v>
      </c>
      <c r="D39" s="227">
        <f>0.25+0.05+0.05</f>
        <v>0.35</v>
      </c>
      <c r="E39" s="227">
        <v>0.05</v>
      </c>
      <c r="F39" s="228">
        <v>1</v>
      </c>
      <c r="G39" s="229">
        <f t="shared" si="2"/>
        <v>0.41</v>
      </c>
      <c r="H39" s="237"/>
      <c r="I39" s="254"/>
    </row>
    <row r="40" s="205" customFormat="1" spans="1:9">
      <c r="A40" s="239"/>
      <c r="B40" s="227"/>
      <c r="C40" s="227"/>
      <c r="D40" s="227"/>
      <c r="E40" s="228"/>
      <c r="F40" s="229"/>
      <c r="G40" s="230"/>
      <c r="H40" s="237">
        <f>SUM(G33:G39)</f>
        <v>1.06</v>
      </c>
      <c r="I40" s="254" t="s">
        <v>79</v>
      </c>
    </row>
    <row r="41" s="205" customFormat="1" spans="1:9">
      <c r="A41" s="239"/>
      <c r="B41" s="227"/>
      <c r="C41" s="227"/>
      <c r="D41" s="227"/>
      <c r="E41" s="228"/>
      <c r="F41" s="229"/>
      <c r="G41" s="230"/>
      <c r="H41" s="238"/>
      <c r="I41" s="256"/>
    </row>
    <row r="42" s="205" customFormat="1" spans="1:9">
      <c r="A42" s="231" t="s">
        <v>179</v>
      </c>
      <c r="B42" s="226"/>
      <c r="C42" s="227"/>
      <c r="D42" s="227"/>
      <c r="E42" s="227"/>
      <c r="F42" s="228"/>
      <c r="G42" s="229"/>
      <c r="H42" s="237"/>
      <c r="I42" s="254"/>
    </row>
    <row r="43" s="205" customFormat="1" spans="1:9">
      <c r="A43" s="231" t="s">
        <v>180</v>
      </c>
      <c r="B43" s="226"/>
      <c r="C43" s="227"/>
      <c r="D43" s="227"/>
      <c r="E43" s="227"/>
      <c r="F43" s="228"/>
      <c r="G43" s="229"/>
      <c r="H43" s="237"/>
      <c r="I43" s="254"/>
    </row>
    <row r="44" s="205" customFormat="1" spans="1:10">
      <c r="A44" s="225" t="s">
        <v>166</v>
      </c>
      <c r="B44" s="226">
        <v>3</v>
      </c>
      <c r="C44" s="227">
        <v>1.7</v>
      </c>
      <c r="D44" s="227">
        <v>1.3</v>
      </c>
      <c r="E44" s="227">
        <v>0.3</v>
      </c>
      <c r="F44" s="228">
        <v>1</v>
      </c>
      <c r="G44" s="229">
        <f t="shared" ref="G44:G52" si="3">ROUND(F44*E44*D44*C44*B44,2)</f>
        <v>1.99</v>
      </c>
      <c r="H44" s="237"/>
      <c r="I44" s="254"/>
      <c r="J44" s="257">
        <v>1.68</v>
      </c>
    </row>
    <row r="45" s="205" customFormat="1" spans="1:10">
      <c r="A45" s="225" t="s">
        <v>167</v>
      </c>
      <c r="B45" s="226">
        <v>2</v>
      </c>
      <c r="C45" s="227">
        <v>1.5</v>
      </c>
      <c r="D45" s="227">
        <v>1.5</v>
      </c>
      <c r="E45" s="227">
        <v>0.4</v>
      </c>
      <c r="F45" s="228">
        <v>1</v>
      </c>
      <c r="G45" s="229">
        <f t="shared" si="3"/>
        <v>1.8</v>
      </c>
      <c r="H45" s="237"/>
      <c r="I45" s="254"/>
      <c r="J45" s="257">
        <v>1.69</v>
      </c>
    </row>
    <row r="46" s="205" customFormat="1" spans="1:10">
      <c r="A46" s="225" t="s">
        <v>168</v>
      </c>
      <c r="B46" s="226">
        <v>3</v>
      </c>
      <c r="C46" s="227">
        <v>2.2</v>
      </c>
      <c r="D46" s="227">
        <v>1.5</v>
      </c>
      <c r="E46" s="227">
        <v>0.4</v>
      </c>
      <c r="F46" s="228">
        <v>1</v>
      </c>
      <c r="G46" s="229">
        <f t="shared" si="3"/>
        <v>3.96</v>
      </c>
      <c r="H46" s="237"/>
      <c r="I46" s="254"/>
      <c r="J46" s="257">
        <v>3.53814892404763</v>
      </c>
    </row>
    <row r="47" s="205" customFormat="1" spans="1:10">
      <c r="A47" s="225" t="s">
        <v>169</v>
      </c>
      <c r="B47" s="226">
        <v>2</v>
      </c>
      <c r="C47" s="227">
        <v>1.6</v>
      </c>
      <c r="D47" s="227">
        <v>1.2</v>
      </c>
      <c r="E47" s="227">
        <v>0.3</v>
      </c>
      <c r="F47" s="228">
        <v>1</v>
      </c>
      <c r="G47" s="229">
        <f t="shared" si="3"/>
        <v>1.15</v>
      </c>
      <c r="H47" s="237"/>
      <c r="I47" s="254"/>
      <c r="J47" s="257">
        <v>0.946310337989839</v>
      </c>
    </row>
    <row r="48" s="205" customFormat="1" spans="1:10">
      <c r="A48" s="225" t="s">
        <v>181</v>
      </c>
      <c r="B48" s="226">
        <v>-1</v>
      </c>
      <c r="C48" s="240">
        <v>1.046</v>
      </c>
      <c r="D48" s="227">
        <v>1</v>
      </c>
      <c r="E48" s="227">
        <v>1</v>
      </c>
      <c r="F48" s="228">
        <v>1</v>
      </c>
      <c r="G48" s="229">
        <f t="shared" si="3"/>
        <v>-1.05</v>
      </c>
      <c r="H48" s="237"/>
      <c r="I48" s="254"/>
      <c r="J48" s="257"/>
    </row>
    <row r="49" s="205" customFormat="1" spans="1:11">
      <c r="A49" s="225"/>
      <c r="B49" s="226"/>
      <c r="C49" s="227"/>
      <c r="D49" s="227"/>
      <c r="E49" s="227"/>
      <c r="F49" s="228"/>
      <c r="G49" s="229"/>
      <c r="H49" s="237">
        <f>SUM(G43:G48)</f>
        <v>7.85</v>
      </c>
      <c r="I49" s="254" t="s">
        <v>79</v>
      </c>
      <c r="J49" s="258"/>
      <c r="K49" s="258"/>
    </row>
    <row r="50" s="205" customFormat="1" spans="1:9">
      <c r="A50" s="225"/>
      <c r="B50" s="226"/>
      <c r="C50" s="227"/>
      <c r="D50" s="227"/>
      <c r="E50" s="227"/>
      <c r="F50" s="228"/>
      <c r="G50" s="229"/>
      <c r="H50" s="237"/>
      <c r="I50" s="254"/>
    </row>
    <row r="51" s="205" customFormat="1" spans="1:16">
      <c r="A51" s="225" t="s">
        <v>170</v>
      </c>
      <c r="B51" s="226">
        <v>1</v>
      </c>
      <c r="C51" s="227">
        <v>44.9</v>
      </c>
      <c r="D51" s="227">
        <v>0.4</v>
      </c>
      <c r="E51" s="227">
        <v>0.2</v>
      </c>
      <c r="F51" s="228">
        <v>1</v>
      </c>
      <c r="G51" s="229">
        <f>ROUND(F51*E51*D51*C51*B51,2)</f>
        <v>3.59</v>
      </c>
      <c r="H51" s="237"/>
      <c r="I51" s="254"/>
      <c r="K51" s="251">
        <v>2</v>
      </c>
      <c r="L51" s="251">
        <v>3.52</v>
      </c>
      <c r="M51" s="252"/>
      <c r="N51" s="252"/>
      <c r="O51" s="252"/>
      <c r="P51" s="259">
        <f>+L51*K51</f>
        <v>7.04</v>
      </c>
    </row>
    <row r="52" s="205" customFormat="1" spans="1:16">
      <c r="A52" s="225" t="s">
        <v>171</v>
      </c>
      <c r="B52" s="226">
        <v>1</v>
      </c>
      <c r="C52" s="227">
        <v>26.9</v>
      </c>
      <c r="D52" s="227">
        <v>0.25</v>
      </c>
      <c r="E52" s="227">
        <v>0.4</v>
      </c>
      <c r="F52" s="228">
        <v>1</v>
      </c>
      <c r="G52" s="229">
        <f t="shared" si="3"/>
        <v>2.69</v>
      </c>
      <c r="H52" s="237"/>
      <c r="I52" s="254"/>
      <c r="K52" s="251">
        <v>2</v>
      </c>
      <c r="L52" s="251">
        <v>2.62</v>
      </c>
      <c r="M52" s="252"/>
      <c r="N52" s="252"/>
      <c r="O52" s="252"/>
      <c r="P52" s="259">
        <f t="shared" ref="P52:P56" si="4">+L52*K52</f>
        <v>5.24</v>
      </c>
    </row>
    <row r="53" s="205" customFormat="1" spans="1:16">
      <c r="A53" s="225"/>
      <c r="B53" s="226"/>
      <c r="C53" s="227"/>
      <c r="D53" s="227"/>
      <c r="E53" s="227"/>
      <c r="F53" s="228"/>
      <c r="G53" s="229"/>
      <c r="H53" s="237">
        <f>SUM(G51:G52)</f>
        <v>6.28</v>
      </c>
      <c r="I53" s="254" t="s">
        <v>79</v>
      </c>
      <c r="K53" s="251">
        <v>2</v>
      </c>
      <c r="L53" s="251">
        <v>3.65</v>
      </c>
      <c r="M53" s="252"/>
      <c r="N53" s="252"/>
      <c r="O53" s="252"/>
      <c r="P53" s="259">
        <f t="shared" si="4"/>
        <v>7.3</v>
      </c>
    </row>
    <row r="54" s="205" customFormat="1" spans="1:16">
      <c r="A54" s="225" t="s">
        <v>97</v>
      </c>
      <c r="B54" s="227"/>
      <c r="C54" s="227"/>
      <c r="D54" s="227"/>
      <c r="E54" s="228"/>
      <c r="F54" s="229"/>
      <c r="G54" s="230"/>
      <c r="H54" s="238"/>
      <c r="I54" s="256"/>
      <c r="K54" s="251">
        <v>2</v>
      </c>
      <c r="L54" s="252">
        <v>6</v>
      </c>
      <c r="M54" s="252"/>
      <c r="N54" s="252"/>
      <c r="O54" s="252"/>
      <c r="P54" s="259">
        <f t="shared" si="4"/>
        <v>12</v>
      </c>
    </row>
    <row r="55" s="205" customFormat="1" ht="13.8" spans="1:16">
      <c r="A55" s="225" t="s">
        <v>180</v>
      </c>
      <c r="B55" s="227">
        <v>1</v>
      </c>
      <c r="C55" s="241"/>
      <c r="D55" s="227"/>
      <c r="E55" s="228"/>
      <c r="F55" s="228">
        <v>1</v>
      </c>
      <c r="G55" s="227"/>
      <c r="H55" s="238"/>
      <c r="I55" s="256"/>
      <c r="K55" s="251">
        <v>2</v>
      </c>
      <c r="L55" s="251">
        <v>3.04</v>
      </c>
      <c r="M55" s="252"/>
      <c r="N55" s="252"/>
      <c r="O55" s="252"/>
      <c r="P55" s="259">
        <f t="shared" si="4"/>
        <v>6.08</v>
      </c>
    </row>
    <row r="56" s="205" customFormat="1" ht="13.8" spans="1:16">
      <c r="A56" s="225" t="s">
        <v>182</v>
      </c>
      <c r="B56" s="227">
        <v>1</v>
      </c>
      <c r="C56" s="241"/>
      <c r="D56" s="227"/>
      <c r="E56" s="228"/>
      <c r="F56" s="228">
        <v>1</v>
      </c>
      <c r="G56" s="227"/>
      <c r="H56" s="238"/>
      <c r="I56" s="256"/>
      <c r="K56" s="251">
        <v>2</v>
      </c>
      <c r="L56" s="251">
        <v>3.62</v>
      </c>
      <c r="M56" s="252"/>
      <c r="N56" s="252"/>
      <c r="O56" s="252"/>
      <c r="P56" s="259">
        <f t="shared" si="4"/>
        <v>7.24</v>
      </c>
    </row>
    <row r="57" s="205" customFormat="1" ht="13.8" spans="1:16">
      <c r="A57" s="225" t="s">
        <v>183</v>
      </c>
      <c r="B57" s="227">
        <v>1</v>
      </c>
      <c r="C57" s="241"/>
      <c r="D57" s="227"/>
      <c r="E57" s="228"/>
      <c r="F57" s="228">
        <v>1</v>
      </c>
      <c r="G57" s="227"/>
      <c r="H57" s="238"/>
      <c r="I57" s="256"/>
      <c r="M57" s="252"/>
      <c r="N57" s="252"/>
      <c r="O57" s="252"/>
      <c r="P57" s="257">
        <f>SUM(P51:P56)</f>
        <v>44.9</v>
      </c>
    </row>
    <row r="58" s="205" customFormat="1" ht="13.8" spans="1:14">
      <c r="A58" s="225" t="s">
        <v>184</v>
      </c>
      <c r="B58" s="227">
        <v>1</v>
      </c>
      <c r="C58" s="241"/>
      <c r="D58" s="227"/>
      <c r="E58" s="228"/>
      <c r="F58" s="228">
        <v>1</v>
      </c>
      <c r="G58" s="227"/>
      <c r="H58" s="238"/>
      <c r="I58" s="256"/>
      <c r="L58" s="252"/>
      <c r="M58" s="252"/>
      <c r="N58" s="252"/>
    </row>
    <row r="59" s="205" customFormat="1" spans="1:16">
      <c r="A59" s="225"/>
      <c r="B59" s="227"/>
      <c r="C59" s="227"/>
      <c r="D59" s="227"/>
      <c r="E59" s="228"/>
      <c r="F59" s="228"/>
      <c r="G59" s="230"/>
      <c r="H59" s="242">
        <f>'Fondations Acier'!T16+'Poteaux Fond'!T14</f>
        <v>1547.168565</v>
      </c>
      <c r="I59" s="256" t="s">
        <v>99</v>
      </c>
      <c r="K59" s="251">
        <v>1</v>
      </c>
      <c r="L59" s="252">
        <v>6.9</v>
      </c>
      <c r="M59" s="252"/>
      <c r="N59" s="252"/>
      <c r="O59" s="252"/>
      <c r="P59" s="259">
        <f t="shared" ref="P59:P62" si="5">+L59*K59</f>
        <v>6.9</v>
      </c>
    </row>
    <row r="60" s="205" customFormat="1" spans="1:16">
      <c r="A60" s="225"/>
      <c r="B60" s="227"/>
      <c r="C60" s="227"/>
      <c r="D60" s="227"/>
      <c r="E60" s="228"/>
      <c r="F60" s="228"/>
      <c r="G60" s="230"/>
      <c r="H60" s="238"/>
      <c r="I60" s="256"/>
      <c r="K60" s="251">
        <v>1</v>
      </c>
      <c r="L60" s="252">
        <v>6.9</v>
      </c>
      <c r="M60" s="252"/>
      <c r="N60" s="252"/>
      <c r="O60" s="252"/>
      <c r="P60" s="259">
        <f t="shared" si="5"/>
        <v>6.9</v>
      </c>
    </row>
    <row r="61" s="205" customFormat="1" spans="1:16">
      <c r="A61" s="225"/>
      <c r="B61" s="227"/>
      <c r="C61" s="227"/>
      <c r="D61" s="227"/>
      <c r="E61" s="228"/>
      <c r="F61" s="228"/>
      <c r="G61" s="230"/>
      <c r="H61" s="238"/>
      <c r="I61" s="256"/>
      <c r="K61" s="251">
        <v>1</v>
      </c>
      <c r="L61" s="252">
        <v>6.9</v>
      </c>
      <c r="M61" s="252"/>
      <c r="N61" s="252"/>
      <c r="O61" s="252"/>
      <c r="P61" s="259">
        <f t="shared" si="5"/>
        <v>6.9</v>
      </c>
    </row>
    <row r="62" s="205" customFormat="1" spans="1:16">
      <c r="A62" s="231" t="s">
        <v>185</v>
      </c>
      <c r="B62" s="226"/>
      <c r="C62" s="227"/>
      <c r="D62" s="227"/>
      <c r="E62" s="227"/>
      <c r="F62" s="228"/>
      <c r="G62" s="229"/>
      <c r="H62" s="237"/>
      <c r="I62" s="254"/>
      <c r="K62" s="251">
        <v>1</v>
      </c>
      <c r="L62" s="252">
        <v>6.2</v>
      </c>
      <c r="M62" s="252"/>
      <c r="N62" s="252"/>
      <c r="O62" s="252"/>
      <c r="P62" s="259">
        <f t="shared" si="5"/>
        <v>6.2</v>
      </c>
    </row>
    <row r="63" s="205" customFormat="1" spans="1:16">
      <c r="A63" s="225" t="s">
        <v>186</v>
      </c>
      <c r="B63" s="226">
        <v>3</v>
      </c>
      <c r="C63" s="243">
        <v>0.05</v>
      </c>
      <c r="D63" s="244"/>
      <c r="E63" s="227">
        <f>0.8-0.05</f>
        <v>0.75</v>
      </c>
      <c r="F63" s="228">
        <v>1</v>
      </c>
      <c r="G63" s="229">
        <f>ROUND(F63*E63*C63*B63,2)</f>
        <v>0.11</v>
      </c>
      <c r="H63" s="237"/>
      <c r="I63" s="254"/>
      <c r="K63" s="251"/>
      <c r="L63" s="252"/>
      <c r="M63" s="252"/>
      <c r="N63" s="252"/>
      <c r="O63" s="252"/>
      <c r="P63" s="257">
        <f>SUM(P59:P62)</f>
        <v>26.9</v>
      </c>
    </row>
    <row r="64" s="205" customFormat="1" spans="1:16">
      <c r="A64" s="225" t="s">
        <v>187</v>
      </c>
      <c r="B64" s="226">
        <v>2</v>
      </c>
      <c r="C64" s="227">
        <v>0.45</v>
      </c>
      <c r="D64" s="227">
        <v>0.3</v>
      </c>
      <c r="E64" s="227">
        <f>0.9-0.05</f>
        <v>0.85</v>
      </c>
      <c r="F64" s="228">
        <v>1</v>
      </c>
      <c r="G64" s="229">
        <f t="shared" ref="G64:G70" si="6">ROUND(F64*E64*D64*C64*B64,2)</f>
        <v>0.23</v>
      </c>
      <c r="H64" s="237"/>
      <c r="I64" s="254"/>
      <c r="K64" s="251"/>
      <c r="L64" s="252"/>
      <c r="M64" s="252"/>
      <c r="N64" s="252"/>
      <c r="O64" s="252"/>
      <c r="P64" s="259"/>
    </row>
    <row r="65" s="205" customFormat="1" spans="1:15">
      <c r="A65" s="225" t="s">
        <v>188</v>
      </c>
      <c r="B65" s="226">
        <v>3</v>
      </c>
      <c r="C65" s="227">
        <v>0.62</v>
      </c>
      <c r="D65" s="227">
        <v>0.3</v>
      </c>
      <c r="E65" s="227">
        <f>0.9-0.05</f>
        <v>0.85</v>
      </c>
      <c r="F65" s="228">
        <v>1</v>
      </c>
      <c r="G65" s="229">
        <f t="shared" si="6"/>
        <v>0.47</v>
      </c>
      <c r="H65" s="237"/>
      <c r="I65" s="254"/>
      <c r="M65" s="252"/>
      <c r="N65" s="252"/>
      <c r="O65" s="252"/>
    </row>
    <row r="66" s="205" customFormat="1" ht="19.5" customHeight="1" spans="1:9">
      <c r="A66" s="225" t="s">
        <v>189</v>
      </c>
      <c r="B66" s="226">
        <v>2</v>
      </c>
      <c r="C66" s="227">
        <v>0.96</v>
      </c>
      <c r="D66" s="227">
        <v>0.3</v>
      </c>
      <c r="E66" s="227">
        <v>0.8</v>
      </c>
      <c r="F66" s="228">
        <v>1</v>
      </c>
      <c r="G66" s="229">
        <f t="shared" si="6"/>
        <v>0.46</v>
      </c>
      <c r="H66" s="237">
        <f>+SUM(G63:G66)</f>
        <v>1.27</v>
      </c>
      <c r="I66" s="254" t="s">
        <v>79</v>
      </c>
    </row>
    <row r="67" s="205" customFormat="1" ht="19.5" customHeight="1" spans="1:9">
      <c r="A67" s="225"/>
      <c r="B67" s="226"/>
      <c r="C67" s="227"/>
      <c r="D67" s="227"/>
      <c r="E67" s="227"/>
      <c r="F67" s="228"/>
      <c r="G67" s="229"/>
      <c r="H67" s="237"/>
      <c r="I67" s="254"/>
    </row>
    <row r="68" s="205" customFormat="1" spans="1:9">
      <c r="A68" s="232" t="s">
        <v>190</v>
      </c>
      <c r="B68" s="226"/>
      <c r="C68" s="227"/>
      <c r="D68" s="227"/>
      <c r="E68" s="227"/>
      <c r="F68" s="228"/>
      <c r="G68" s="229"/>
      <c r="H68" s="237"/>
      <c r="I68" s="254"/>
    </row>
    <row r="69" s="205" customFormat="1" spans="1:9">
      <c r="A69" s="225"/>
      <c r="B69" s="226">
        <v>1</v>
      </c>
      <c r="C69" s="227">
        <v>44.9</v>
      </c>
      <c r="D69" s="227">
        <v>0.4</v>
      </c>
      <c r="E69" s="227">
        <v>1.2</v>
      </c>
      <c r="F69" s="228">
        <v>1</v>
      </c>
      <c r="G69" s="229">
        <f t="shared" si="6"/>
        <v>21.55</v>
      </c>
      <c r="H69" s="237"/>
      <c r="I69" s="254"/>
    </row>
    <row r="70" s="205" customFormat="1" spans="1:9">
      <c r="A70" s="225" t="s">
        <v>191</v>
      </c>
      <c r="B70" s="226">
        <v>-1</v>
      </c>
      <c r="C70" s="227">
        <v>4.068</v>
      </c>
      <c r="D70" s="227">
        <v>1</v>
      </c>
      <c r="E70" s="227">
        <v>1</v>
      </c>
      <c r="F70" s="228">
        <v>1</v>
      </c>
      <c r="G70" s="229">
        <f t="shared" si="6"/>
        <v>-4.07</v>
      </c>
      <c r="H70" s="237"/>
      <c r="I70" s="254"/>
    </row>
    <row r="71" s="205" customFormat="1" spans="1:9">
      <c r="A71" s="225"/>
      <c r="B71" s="226"/>
      <c r="C71" s="227"/>
      <c r="D71" s="227"/>
      <c r="E71" s="227"/>
      <c r="F71" s="228"/>
      <c r="G71" s="229"/>
      <c r="H71" s="237">
        <f>SUM(G69:G71)</f>
        <v>17.48</v>
      </c>
      <c r="I71" s="254" t="s">
        <v>79</v>
      </c>
    </row>
    <row r="72" s="205" customFormat="1" spans="1:9">
      <c r="A72" s="225"/>
      <c r="B72" s="226"/>
      <c r="C72" s="227"/>
      <c r="D72" s="227"/>
      <c r="E72" s="227"/>
      <c r="F72" s="228"/>
      <c r="G72" s="229"/>
      <c r="H72" s="237"/>
      <c r="I72" s="254"/>
    </row>
    <row r="73" s="205" customFormat="1" spans="1:9">
      <c r="A73" s="231" t="s">
        <v>192</v>
      </c>
      <c r="B73" s="226"/>
      <c r="C73" s="227"/>
      <c r="D73" s="227"/>
      <c r="E73" s="227"/>
      <c r="F73" s="228"/>
      <c r="G73" s="229"/>
      <c r="H73" s="237"/>
      <c r="I73" s="254"/>
    </row>
    <row r="74" s="205" customFormat="1" spans="1:9">
      <c r="A74" s="225" t="s">
        <v>193</v>
      </c>
      <c r="B74" s="226"/>
      <c r="C74" s="227"/>
      <c r="D74" s="227"/>
      <c r="E74" s="227"/>
      <c r="F74" s="228"/>
      <c r="G74" s="229"/>
      <c r="H74" s="237"/>
      <c r="I74" s="254"/>
    </row>
    <row r="75" s="205" customFormat="1" ht="23.25" customHeight="1" spans="1:9">
      <c r="A75" s="225" t="s">
        <v>194</v>
      </c>
      <c r="B75" s="226"/>
      <c r="C75" s="227"/>
      <c r="D75" s="227"/>
      <c r="E75" s="227"/>
      <c r="F75" s="228"/>
      <c r="G75" s="229"/>
      <c r="H75" s="237"/>
      <c r="I75" s="254"/>
    </row>
    <row r="76" s="205" customFormat="1" spans="1:9">
      <c r="A76" s="225"/>
      <c r="B76" s="260">
        <v>7</v>
      </c>
      <c r="C76" s="227"/>
      <c r="D76" s="227"/>
      <c r="E76" s="227"/>
      <c r="F76" s="228">
        <v>1</v>
      </c>
      <c r="G76" s="229">
        <f>+B76</f>
        <v>7</v>
      </c>
      <c r="H76" s="237">
        <v>7</v>
      </c>
      <c r="I76" s="254" t="s">
        <v>65</v>
      </c>
    </row>
    <row r="77" s="205" customFormat="1" spans="1:9">
      <c r="A77" s="225" t="s">
        <v>195</v>
      </c>
      <c r="B77" s="226"/>
      <c r="C77" s="227"/>
      <c r="D77" s="227"/>
      <c r="E77" s="227"/>
      <c r="F77" s="228"/>
      <c r="G77" s="229"/>
      <c r="H77" s="237"/>
      <c r="I77" s="254"/>
    </row>
    <row r="78" s="205" customFormat="1" spans="1:9">
      <c r="A78" s="225" t="s">
        <v>196</v>
      </c>
      <c r="B78" s="226"/>
      <c r="C78" s="227"/>
      <c r="D78" s="227"/>
      <c r="E78" s="227"/>
      <c r="F78" s="228">
        <v>1</v>
      </c>
      <c r="G78" s="229">
        <v>23</v>
      </c>
      <c r="H78" s="237">
        <f>+G78</f>
        <v>23</v>
      </c>
      <c r="I78" s="254" t="s">
        <v>117</v>
      </c>
    </row>
    <row r="79" s="205" customFormat="1" spans="1:9">
      <c r="A79" s="225"/>
      <c r="B79" s="226"/>
      <c r="C79" s="227"/>
      <c r="D79" s="227"/>
      <c r="E79" s="227"/>
      <c r="F79" s="228"/>
      <c r="G79" s="229"/>
      <c r="H79" s="237"/>
      <c r="I79" s="254"/>
    </row>
    <row r="80" s="205" customFormat="1" spans="1:9">
      <c r="A80" s="231" t="s">
        <v>197</v>
      </c>
      <c r="B80" s="226"/>
      <c r="C80" s="227"/>
      <c r="D80" s="227"/>
      <c r="E80" s="227"/>
      <c r="F80" s="228"/>
      <c r="G80" s="229"/>
      <c r="H80" s="237"/>
      <c r="I80" s="254"/>
    </row>
    <row r="81" s="205" customFormat="1" spans="1:9">
      <c r="A81" s="231"/>
      <c r="B81" s="226">
        <v>1</v>
      </c>
      <c r="C81" s="227">
        <v>44.9</v>
      </c>
      <c r="D81" s="227">
        <v>0.4</v>
      </c>
      <c r="E81" s="227"/>
      <c r="F81" s="228"/>
      <c r="G81" s="229">
        <f>+D81*C81*B81</f>
        <v>17.96</v>
      </c>
      <c r="H81" s="237"/>
      <c r="I81" s="254"/>
    </row>
    <row r="82" s="205" customFormat="1" spans="1:9">
      <c r="A82" s="231"/>
      <c r="B82" s="226"/>
      <c r="C82" s="227"/>
      <c r="D82" s="227"/>
      <c r="E82" s="227"/>
      <c r="F82" s="228"/>
      <c r="G82" s="229"/>
      <c r="H82" s="237">
        <f>+G81</f>
        <v>17.96</v>
      </c>
      <c r="I82" s="254" t="s">
        <v>148</v>
      </c>
    </row>
    <row r="83" s="205" customFormat="1" spans="1:9">
      <c r="A83" s="231" t="s">
        <v>198</v>
      </c>
      <c r="B83" s="226"/>
      <c r="C83" s="227"/>
      <c r="D83" s="227"/>
      <c r="E83" s="227"/>
      <c r="F83" s="228"/>
      <c r="G83" s="229"/>
      <c r="H83" s="237"/>
      <c r="I83" s="254"/>
    </row>
    <row r="84" s="205" customFormat="1" spans="1:9">
      <c r="A84" s="225" t="s">
        <v>121</v>
      </c>
      <c r="B84" s="226">
        <v>1</v>
      </c>
      <c r="C84" s="227">
        <v>24.25</v>
      </c>
      <c r="D84" s="227"/>
      <c r="E84" s="227"/>
      <c r="F84" s="228">
        <v>1</v>
      </c>
      <c r="G84" s="229">
        <f>+C84*B84</f>
        <v>24.25</v>
      </c>
      <c r="H84" s="237"/>
      <c r="I84" s="254"/>
    </row>
    <row r="85" s="205" customFormat="1" spans="1:9">
      <c r="A85" s="261"/>
      <c r="B85" s="226">
        <v>1</v>
      </c>
      <c r="C85" s="227">
        <v>30.68</v>
      </c>
      <c r="D85" s="227"/>
      <c r="E85" s="227"/>
      <c r="F85" s="228">
        <v>1</v>
      </c>
      <c r="G85" s="229">
        <f t="shared" ref="G85:G87" si="7">+C85*B85</f>
        <v>30.68</v>
      </c>
      <c r="H85" s="237"/>
      <c r="I85" s="254"/>
    </row>
    <row r="86" s="205" customFormat="1" spans="1:9">
      <c r="A86" s="225"/>
      <c r="B86" s="226">
        <v>1</v>
      </c>
      <c r="C86" s="227">
        <v>9.3</v>
      </c>
      <c r="D86" s="227"/>
      <c r="E86" s="227"/>
      <c r="F86" s="228">
        <v>1</v>
      </c>
      <c r="G86" s="229">
        <f t="shared" si="7"/>
        <v>9.3</v>
      </c>
      <c r="H86" s="237"/>
      <c r="I86" s="254"/>
    </row>
    <row r="87" s="205" customFormat="1" spans="1:9">
      <c r="A87" s="225"/>
      <c r="B87" s="226">
        <v>1</v>
      </c>
      <c r="C87" s="227">
        <v>29.22</v>
      </c>
      <c r="D87" s="227"/>
      <c r="E87" s="227"/>
      <c r="F87" s="228">
        <v>1</v>
      </c>
      <c r="G87" s="229">
        <f t="shared" si="7"/>
        <v>29.22</v>
      </c>
      <c r="H87" s="237"/>
      <c r="I87" s="254"/>
    </row>
    <row r="88" s="205" customFormat="1" spans="1:9">
      <c r="A88" s="225"/>
      <c r="B88" s="226">
        <v>1</v>
      </c>
      <c r="C88" s="227">
        <v>19.97</v>
      </c>
      <c r="D88" s="227"/>
      <c r="E88" s="227"/>
      <c r="F88" s="228">
        <v>1</v>
      </c>
      <c r="G88" s="229">
        <f t="shared" ref="G88" si="8">+C88*B88</f>
        <v>19.97</v>
      </c>
      <c r="H88" s="237"/>
      <c r="I88" s="254"/>
    </row>
    <row r="89" s="205" customFormat="1" spans="1:9">
      <c r="A89" s="225"/>
      <c r="B89" s="226"/>
      <c r="C89" s="227"/>
      <c r="D89" s="227"/>
      <c r="E89" s="227"/>
      <c r="F89" s="241"/>
      <c r="G89" s="229"/>
      <c r="H89" s="237">
        <f>SUM(G84:G88)</f>
        <v>113.42</v>
      </c>
      <c r="I89" s="254" t="s">
        <v>148</v>
      </c>
    </row>
    <row r="90" s="205" customFormat="1" spans="1:9">
      <c r="A90" s="231" t="s">
        <v>199</v>
      </c>
      <c r="B90" s="226"/>
      <c r="C90" s="227"/>
      <c r="D90" s="227"/>
      <c r="E90" s="227"/>
      <c r="F90" s="228"/>
      <c r="G90" s="229"/>
      <c r="H90" s="237"/>
      <c r="I90" s="254"/>
    </row>
    <row r="91" s="205" customFormat="1" spans="1:9">
      <c r="A91" s="225"/>
      <c r="B91" s="226"/>
      <c r="C91" s="227"/>
      <c r="D91" s="227"/>
      <c r="E91" s="227"/>
      <c r="F91" s="228">
        <v>1</v>
      </c>
      <c r="G91" s="229">
        <f>+H89</f>
        <v>113.42</v>
      </c>
      <c r="H91" s="237"/>
      <c r="I91" s="254"/>
    </row>
    <row r="92" s="205" customFormat="1" spans="1:9">
      <c r="A92" s="225"/>
      <c r="B92" s="226"/>
      <c r="C92" s="227"/>
      <c r="D92" s="227"/>
      <c r="E92" s="227"/>
      <c r="F92" s="228"/>
      <c r="G92" s="229"/>
      <c r="H92" s="237">
        <f>SUM(G91:G94)</f>
        <v>113.42</v>
      </c>
      <c r="I92" s="256" t="s">
        <v>148</v>
      </c>
    </row>
    <row r="93" s="205" customFormat="1" spans="1:9">
      <c r="A93" s="231" t="s">
        <v>200</v>
      </c>
      <c r="B93" s="226"/>
      <c r="C93" s="227"/>
      <c r="D93" s="227"/>
      <c r="E93" s="227"/>
      <c r="F93" s="228"/>
      <c r="G93" s="229"/>
      <c r="H93" s="237"/>
      <c r="I93" s="256"/>
    </row>
    <row r="94" s="205" customFormat="1" spans="1:9">
      <c r="A94" s="231" t="s">
        <v>127</v>
      </c>
      <c r="B94" s="226"/>
      <c r="C94" s="227"/>
      <c r="D94" s="227"/>
      <c r="E94" s="227"/>
      <c r="F94" s="228"/>
      <c r="G94" s="229"/>
      <c r="H94" s="237"/>
      <c r="I94" s="256"/>
    </row>
    <row r="95" s="205" customFormat="1" spans="1:9">
      <c r="A95" s="231" t="s">
        <v>201</v>
      </c>
      <c r="B95" s="226"/>
      <c r="C95" s="227"/>
      <c r="D95" s="227"/>
      <c r="E95" s="227"/>
      <c r="F95" s="228"/>
      <c r="G95" s="229"/>
      <c r="H95" s="237"/>
      <c r="I95" s="256"/>
    </row>
    <row r="96" s="205" customFormat="1" spans="1:9">
      <c r="A96" s="225" t="s">
        <v>202</v>
      </c>
      <c r="B96" s="226">
        <v>3</v>
      </c>
      <c r="C96" s="227">
        <v>0.196</v>
      </c>
      <c r="D96" s="227">
        <v>1</v>
      </c>
      <c r="E96" s="227">
        <v>3.41</v>
      </c>
      <c r="F96" s="228">
        <v>1</v>
      </c>
      <c r="G96" s="229">
        <f>+C96*D96*E96*B96</f>
        <v>2.00508</v>
      </c>
      <c r="H96" s="237"/>
      <c r="I96" s="256"/>
    </row>
    <row r="97" s="205" customFormat="1" spans="1:9">
      <c r="A97" s="225" t="s">
        <v>203</v>
      </c>
      <c r="B97" s="226">
        <v>2</v>
      </c>
      <c r="C97" s="227">
        <v>0.45</v>
      </c>
      <c r="D97" s="227">
        <v>0.3</v>
      </c>
      <c r="E97" s="227">
        <v>3.41</v>
      </c>
      <c r="F97" s="228">
        <v>1</v>
      </c>
      <c r="G97" s="229">
        <f t="shared" ref="G97:G118" si="9">+C97*D97*E97*B97</f>
        <v>0.9207</v>
      </c>
      <c r="H97" s="237"/>
      <c r="I97" s="256"/>
    </row>
    <row r="98" s="205" customFormat="1" spans="1:9">
      <c r="A98" s="225" t="s">
        <v>204</v>
      </c>
      <c r="B98" s="226">
        <v>3</v>
      </c>
      <c r="C98" s="227">
        <v>0.62</v>
      </c>
      <c r="D98" s="227">
        <v>0.3</v>
      </c>
      <c r="E98" s="227">
        <v>3.41</v>
      </c>
      <c r="F98" s="228">
        <v>1</v>
      </c>
      <c r="G98" s="229">
        <f t="shared" si="9"/>
        <v>1.90278</v>
      </c>
      <c r="H98" s="237"/>
      <c r="I98" s="256"/>
    </row>
    <row r="99" spans="1:9">
      <c r="A99" s="225" t="s">
        <v>205</v>
      </c>
      <c r="B99" s="226">
        <v>2</v>
      </c>
      <c r="C99" s="227">
        <v>0.96</v>
      </c>
      <c r="D99" s="227">
        <v>0.3</v>
      </c>
      <c r="E99" s="227">
        <v>3.41</v>
      </c>
      <c r="F99" s="228">
        <v>1</v>
      </c>
      <c r="G99" s="229">
        <f t="shared" si="9"/>
        <v>1.96416</v>
      </c>
      <c r="H99" s="237"/>
      <c r="I99" s="256"/>
    </row>
    <row r="100" spans="1:9">
      <c r="A100" s="225" t="s">
        <v>206</v>
      </c>
      <c r="B100" s="226">
        <v>2</v>
      </c>
      <c r="C100" s="227">
        <v>0.2</v>
      </c>
      <c r="D100" s="227">
        <v>0.2</v>
      </c>
      <c r="E100" s="227">
        <v>3.41</v>
      </c>
      <c r="F100" s="228">
        <v>1</v>
      </c>
      <c r="G100" s="229">
        <f t="shared" si="9"/>
        <v>0.2728</v>
      </c>
      <c r="H100" s="237"/>
      <c r="I100" s="256"/>
    </row>
    <row r="101" ht="14.4" spans="1:9">
      <c r="A101" s="225"/>
      <c r="B101" s="226"/>
      <c r="C101" s="227"/>
      <c r="D101" s="227"/>
      <c r="E101" s="227"/>
      <c r="F101" s="228"/>
      <c r="G101" s="229"/>
      <c r="H101" s="262"/>
      <c r="I101" s="263"/>
    </row>
    <row r="102" spans="1:9">
      <c r="A102" s="231" t="s">
        <v>207</v>
      </c>
      <c r="B102" s="226"/>
      <c r="C102" s="227"/>
      <c r="D102" s="227"/>
      <c r="E102" s="227"/>
      <c r="F102" s="228"/>
      <c r="G102" s="229"/>
      <c r="H102" s="237"/>
      <c r="I102" s="256"/>
    </row>
    <row r="103" spans="1:9">
      <c r="A103" s="225" t="s">
        <v>202</v>
      </c>
      <c r="B103" s="226">
        <v>3</v>
      </c>
      <c r="C103" s="227">
        <v>0.196</v>
      </c>
      <c r="D103" s="227">
        <v>1</v>
      </c>
      <c r="E103" s="227">
        <v>3.4</v>
      </c>
      <c r="F103" s="228">
        <v>1</v>
      </c>
      <c r="G103" s="229">
        <f>+C103*D103*E103*B103</f>
        <v>1.9992</v>
      </c>
      <c r="H103" s="237"/>
      <c r="I103" s="256"/>
    </row>
    <row r="104" spans="1:9">
      <c r="A104" s="225" t="s">
        <v>203</v>
      </c>
      <c r="B104" s="226">
        <v>2</v>
      </c>
      <c r="C104" s="227">
        <v>0.45</v>
      </c>
      <c r="D104" s="227">
        <v>0.3</v>
      </c>
      <c r="E104" s="227">
        <v>3.4</v>
      </c>
      <c r="F104" s="228">
        <v>1</v>
      </c>
      <c r="G104" s="229">
        <f t="shared" ref="G104:G106" si="10">+C104*D104*E104*B104</f>
        <v>0.918</v>
      </c>
      <c r="H104" s="237"/>
      <c r="I104" s="256"/>
    </row>
    <row r="105" spans="1:9">
      <c r="A105" s="225" t="s">
        <v>204</v>
      </c>
      <c r="B105" s="226">
        <v>3</v>
      </c>
      <c r="C105" s="227">
        <v>0.62</v>
      </c>
      <c r="D105" s="227">
        <v>0.3</v>
      </c>
      <c r="E105" s="227">
        <v>3.4</v>
      </c>
      <c r="F105" s="228">
        <v>1</v>
      </c>
      <c r="G105" s="229">
        <f t="shared" si="10"/>
        <v>1.8972</v>
      </c>
      <c r="H105" s="237"/>
      <c r="I105" s="256"/>
    </row>
    <row r="106" spans="1:9">
      <c r="A106" s="225" t="s">
        <v>205</v>
      </c>
      <c r="B106" s="226">
        <v>2</v>
      </c>
      <c r="C106" s="227">
        <v>0.96</v>
      </c>
      <c r="D106" s="227">
        <v>0.3</v>
      </c>
      <c r="E106" s="227">
        <v>3.4</v>
      </c>
      <c r="F106" s="228">
        <v>1</v>
      </c>
      <c r="G106" s="229">
        <f t="shared" si="10"/>
        <v>1.9584</v>
      </c>
      <c r="H106" s="237"/>
      <c r="I106" s="256"/>
    </row>
    <row r="107" spans="1:9">
      <c r="A107" s="225"/>
      <c r="B107" s="226"/>
      <c r="C107" s="227"/>
      <c r="D107" s="227"/>
      <c r="E107" s="227"/>
      <c r="F107" s="228"/>
      <c r="G107" s="229"/>
      <c r="H107" s="237">
        <f>+SUM(G96:G107)</f>
        <v>13.83832</v>
      </c>
      <c r="I107" s="256" t="s">
        <v>79</v>
      </c>
    </row>
    <row r="108" spans="1:9">
      <c r="A108" s="225"/>
      <c r="B108" s="226"/>
      <c r="C108" s="227"/>
      <c r="D108" s="227"/>
      <c r="E108" s="227"/>
      <c r="F108" s="228"/>
      <c r="G108" s="229"/>
      <c r="H108" s="237"/>
      <c r="I108" s="256"/>
    </row>
    <row r="109" spans="1:9">
      <c r="A109" s="231" t="s">
        <v>129</v>
      </c>
      <c r="B109" s="226"/>
      <c r="C109" s="227"/>
      <c r="D109" s="227"/>
      <c r="E109" s="227"/>
      <c r="F109" s="228"/>
      <c r="G109" s="229"/>
      <c r="H109" s="237"/>
      <c r="I109" s="256"/>
    </row>
    <row r="110" spans="1:9">
      <c r="A110" s="231" t="s">
        <v>201</v>
      </c>
      <c r="B110" s="226"/>
      <c r="C110" s="227"/>
      <c r="D110" s="227"/>
      <c r="E110" s="227"/>
      <c r="F110" s="228"/>
      <c r="G110" s="229"/>
      <c r="H110" s="237"/>
      <c r="I110" s="256"/>
    </row>
    <row r="111" spans="1:9">
      <c r="A111" s="225" t="s">
        <v>208</v>
      </c>
      <c r="B111" s="226">
        <v>2</v>
      </c>
      <c r="C111" s="227">
        <v>3.14</v>
      </c>
      <c r="D111" s="227">
        <v>0.3</v>
      </c>
      <c r="E111" s="227">
        <v>0.45</v>
      </c>
      <c r="F111" s="228">
        <v>1</v>
      </c>
      <c r="G111" s="229">
        <f t="shared" si="9"/>
        <v>0.8478</v>
      </c>
      <c r="H111" s="237"/>
      <c r="I111" s="256"/>
    </row>
    <row r="112" spans="1:9">
      <c r="A112" s="225" t="s">
        <v>209</v>
      </c>
      <c r="B112" s="226">
        <v>2</v>
      </c>
      <c r="C112" s="227">
        <v>3.02</v>
      </c>
      <c r="D112" s="227">
        <v>0.3</v>
      </c>
      <c r="E112" s="227">
        <v>0.75</v>
      </c>
      <c r="F112" s="228">
        <v>1</v>
      </c>
      <c r="G112" s="229">
        <f t="shared" si="9"/>
        <v>1.359</v>
      </c>
      <c r="H112" s="237"/>
      <c r="I112" s="256"/>
    </row>
    <row r="113" spans="1:9">
      <c r="A113" s="225" t="s">
        <v>210</v>
      </c>
      <c r="B113" s="226">
        <v>2</v>
      </c>
      <c r="C113" s="227">
        <v>3.65</v>
      </c>
      <c r="D113" s="227">
        <v>0.3</v>
      </c>
      <c r="E113" s="227">
        <v>0.75</v>
      </c>
      <c r="F113" s="228">
        <v>1</v>
      </c>
      <c r="G113" s="229">
        <f t="shared" si="9"/>
        <v>1.6425</v>
      </c>
      <c r="H113" s="237"/>
      <c r="I113" s="256"/>
    </row>
    <row r="114" spans="1:9">
      <c r="A114" s="225" t="s">
        <v>211</v>
      </c>
      <c r="B114" s="226">
        <v>2</v>
      </c>
      <c r="C114" s="227">
        <v>6</v>
      </c>
      <c r="D114" s="227">
        <v>0.3</v>
      </c>
      <c r="E114" s="227">
        <v>0.75</v>
      </c>
      <c r="F114" s="228">
        <v>1</v>
      </c>
      <c r="G114" s="229">
        <f t="shared" si="9"/>
        <v>2.7</v>
      </c>
      <c r="H114" s="237"/>
      <c r="I114" s="256"/>
    </row>
    <row r="115" spans="1:9">
      <c r="A115" s="225" t="s">
        <v>212</v>
      </c>
      <c r="B115" s="226">
        <v>2</v>
      </c>
      <c r="C115" s="227">
        <v>3.17</v>
      </c>
      <c r="D115" s="227">
        <v>0.3</v>
      </c>
      <c r="E115" s="227">
        <v>0.45</v>
      </c>
      <c r="F115" s="228">
        <v>1</v>
      </c>
      <c r="G115" s="229">
        <f t="shared" si="9"/>
        <v>0.8559</v>
      </c>
      <c r="H115" s="237"/>
      <c r="I115" s="256"/>
    </row>
    <row r="116" spans="1:9">
      <c r="A116" s="225" t="s">
        <v>213</v>
      </c>
      <c r="B116" s="226">
        <v>2</v>
      </c>
      <c r="C116" s="227">
        <v>3.54</v>
      </c>
      <c r="D116" s="227">
        <v>0.3</v>
      </c>
      <c r="E116" s="227">
        <v>0.45</v>
      </c>
      <c r="F116" s="228">
        <v>1</v>
      </c>
      <c r="G116" s="229">
        <f t="shared" si="9"/>
        <v>0.9558</v>
      </c>
      <c r="H116" s="237"/>
      <c r="I116" s="256"/>
    </row>
    <row r="117" spans="1:9">
      <c r="A117" s="225" t="s">
        <v>214</v>
      </c>
      <c r="B117" s="226">
        <v>3</v>
      </c>
      <c r="C117" s="227">
        <v>6.9</v>
      </c>
      <c r="D117" s="227">
        <v>0.25</v>
      </c>
      <c r="E117" s="227">
        <v>0.4</v>
      </c>
      <c r="F117" s="228">
        <v>1</v>
      </c>
      <c r="G117" s="229">
        <f t="shared" si="9"/>
        <v>2.07</v>
      </c>
      <c r="H117" s="237"/>
      <c r="I117" s="256"/>
    </row>
    <row r="118" spans="1:9">
      <c r="A118" s="225" t="s">
        <v>215</v>
      </c>
      <c r="B118" s="226">
        <v>1</v>
      </c>
      <c r="C118" s="227">
        <v>2.05</v>
      </c>
      <c r="D118" s="227">
        <v>0.2</v>
      </c>
      <c r="E118" s="227">
        <v>0.3</v>
      </c>
      <c r="F118" s="228">
        <v>1</v>
      </c>
      <c r="G118" s="229">
        <f t="shared" si="9"/>
        <v>0.123</v>
      </c>
      <c r="H118" s="237"/>
      <c r="I118" s="256"/>
    </row>
    <row r="119" spans="1:9">
      <c r="A119" s="225"/>
      <c r="B119" s="226"/>
      <c r="C119" s="227"/>
      <c r="D119" s="227"/>
      <c r="E119" s="227"/>
      <c r="F119" s="228"/>
      <c r="G119" s="229"/>
      <c r="H119" s="237"/>
      <c r="I119" s="256"/>
    </row>
    <row r="120" spans="1:9">
      <c r="A120" s="231" t="s">
        <v>216</v>
      </c>
      <c r="B120" s="226"/>
      <c r="C120" s="227"/>
      <c r="D120" s="227"/>
      <c r="E120" s="227"/>
      <c r="F120" s="228"/>
      <c r="G120" s="229"/>
      <c r="H120" s="237"/>
      <c r="I120" s="256"/>
    </row>
    <row r="121" spans="1:9">
      <c r="A121" s="225" t="s">
        <v>217</v>
      </c>
      <c r="B121" s="226">
        <v>2</v>
      </c>
      <c r="C121" s="227">
        <v>3.14</v>
      </c>
      <c r="D121" s="227">
        <v>0.3</v>
      </c>
      <c r="E121" s="227">
        <v>0.45</v>
      </c>
      <c r="F121" s="228">
        <v>1</v>
      </c>
      <c r="G121" s="229">
        <f t="shared" ref="G121:G127" si="11">+C121*D121*E121*B121</f>
        <v>0.8478</v>
      </c>
      <c r="H121" s="237"/>
      <c r="I121" s="256"/>
    </row>
    <row r="122" spans="1:9">
      <c r="A122" s="225" t="s">
        <v>218</v>
      </c>
      <c r="B122" s="226">
        <v>2</v>
      </c>
      <c r="C122" s="227">
        <v>3.02</v>
      </c>
      <c r="D122" s="227">
        <v>0.3</v>
      </c>
      <c r="E122" s="227">
        <v>0.75</v>
      </c>
      <c r="F122" s="228">
        <v>1</v>
      </c>
      <c r="G122" s="229">
        <f t="shared" si="11"/>
        <v>1.359</v>
      </c>
      <c r="H122" s="237"/>
      <c r="I122" s="256"/>
    </row>
    <row r="123" spans="1:9">
      <c r="A123" s="225" t="s">
        <v>219</v>
      </c>
      <c r="B123" s="226">
        <v>2</v>
      </c>
      <c r="C123" s="227">
        <v>3.65</v>
      </c>
      <c r="D123" s="227">
        <v>0.3</v>
      </c>
      <c r="E123" s="227">
        <v>0.75</v>
      </c>
      <c r="F123" s="228">
        <v>1</v>
      </c>
      <c r="G123" s="229">
        <f t="shared" si="11"/>
        <v>1.6425</v>
      </c>
      <c r="H123" s="237"/>
      <c r="I123" s="256"/>
    </row>
    <row r="124" spans="1:9">
      <c r="A124" s="225" t="s">
        <v>220</v>
      </c>
      <c r="B124" s="226">
        <v>2</v>
      </c>
      <c r="C124" s="227">
        <v>6</v>
      </c>
      <c r="D124" s="227">
        <v>0.3</v>
      </c>
      <c r="E124" s="227">
        <v>0.75</v>
      </c>
      <c r="F124" s="228">
        <v>1</v>
      </c>
      <c r="G124" s="229">
        <f t="shared" si="11"/>
        <v>2.7</v>
      </c>
      <c r="H124" s="237"/>
      <c r="I124" s="256"/>
    </row>
    <row r="125" spans="1:9">
      <c r="A125" s="225" t="s">
        <v>221</v>
      </c>
      <c r="B125" s="226">
        <v>2</v>
      </c>
      <c r="C125" s="227">
        <v>3.17</v>
      </c>
      <c r="D125" s="227">
        <v>0.3</v>
      </c>
      <c r="E125" s="227">
        <v>0.45</v>
      </c>
      <c r="F125" s="228">
        <v>1</v>
      </c>
      <c r="G125" s="229">
        <f t="shared" si="11"/>
        <v>0.8559</v>
      </c>
      <c r="H125" s="237"/>
      <c r="I125" s="256"/>
    </row>
    <row r="126" spans="1:9">
      <c r="A126" s="225" t="s">
        <v>222</v>
      </c>
      <c r="B126" s="226">
        <v>2</v>
      </c>
      <c r="C126" s="227">
        <v>3.54</v>
      </c>
      <c r="D126" s="227">
        <v>0.3</v>
      </c>
      <c r="E126" s="227">
        <v>0.45</v>
      </c>
      <c r="F126" s="228">
        <v>1</v>
      </c>
      <c r="G126" s="229">
        <f t="shared" si="11"/>
        <v>0.9558</v>
      </c>
      <c r="H126" s="237"/>
      <c r="I126" s="256"/>
    </row>
    <row r="127" spans="1:9">
      <c r="A127" s="225" t="s">
        <v>223</v>
      </c>
      <c r="B127" s="226">
        <v>3</v>
      </c>
      <c r="C127" s="227">
        <v>6.9</v>
      </c>
      <c r="D127" s="227">
        <v>0.25</v>
      </c>
      <c r="E127" s="227">
        <v>0.4</v>
      </c>
      <c r="F127" s="228">
        <v>1</v>
      </c>
      <c r="G127" s="229">
        <f t="shared" si="11"/>
        <v>2.07</v>
      </c>
      <c r="H127" s="237"/>
      <c r="I127" s="256"/>
    </row>
    <row r="128" spans="1:9">
      <c r="A128" s="225"/>
      <c r="B128" s="226"/>
      <c r="C128" s="227"/>
      <c r="D128" s="227"/>
      <c r="E128" s="227"/>
      <c r="F128" s="228"/>
      <c r="G128" s="229"/>
      <c r="H128" s="237">
        <f>+SUM(G111:G127)</f>
        <v>20.985</v>
      </c>
      <c r="I128" s="256" t="s">
        <v>79</v>
      </c>
    </row>
    <row r="129" spans="1:9">
      <c r="A129" s="231" t="s">
        <v>131</v>
      </c>
      <c r="B129" s="226"/>
      <c r="C129" s="227"/>
      <c r="D129" s="227"/>
      <c r="E129" s="227"/>
      <c r="F129" s="228"/>
      <c r="G129" s="229"/>
      <c r="H129" s="237"/>
      <c r="I129" s="256"/>
    </row>
    <row r="130" spans="1:9">
      <c r="A130" s="225" t="s">
        <v>224</v>
      </c>
      <c r="B130" s="226">
        <v>1</v>
      </c>
      <c r="C130" s="227">
        <v>32.77</v>
      </c>
      <c r="D130" s="227">
        <v>1</v>
      </c>
      <c r="E130" s="227">
        <v>0.3</v>
      </c>
      <c r="F130" s="228">
        <v>1</v>
      </c>
      <c r="G130" s="229">
        <f t="shared" ref="G130:G131" si="12">+C130*D130*E130*B130</f>
        <v>9.831</v>
      </c>
      <c r="H130" s="237"/>
      <c r="I130" s="256"/>
    </row>
    <row r="131" spans="1:9">
      <c r="A131" s="225" t="s">
        <v>225</v>
      </c>
      <c r="B131" s="226">
        <v>2</v>
      </c>
      <c r="C131" s="227">
        <v>37.23</v>
      </c>
      <c r="D131" s="227">
        <v>0.06</v>
      </c>
      <c r="E131" s="227">
        <v>0.06</v>
      </c>
      <c r="F131" s="228">
        <v>1</v>
      </c>
      <c r="G131" s="229">
        <f t="shared" si="12"/>
        <v>0.268056</v>
      </c>
      <c r="H131" s="237"/>
      <c r="I131" s="256"/>
    </row>
    <row r="132" spans="1:9">
      <c r="A132" s="225"/>
      <c r="B132" s="226"/>
      <c r="C132" s="227"/>
      <c r="D132" s="227"/>
      <c r="E132" s="227"/>
      <c r="F132" s="228"/>
      <c r="G132" s="229"/>
      <c r="H132" s="237">
        <f>SUM(G130:G131)</f>
        <v>10.099056</v>
      </c>
      <c r="I132" s="256" t="s">
        <v>79</v>
      </c>
    </row>
    <row r="133" spans="1:9">
      <c r="A133" s="225"/>
      <c r="B133" s="226"/>
      <c r="C133" s="227"/>
      <c r="D133" s="227"/>
      <c r="E133" s="227"/>
      <c r="F133" s="228"/>
      <c r="G133" s="229"/>
      <c r="H133" s="237"/>
      <c r="I133" s="256"/>
    </row>
    <row r="134" spans="1:9">
      <c r="A134" s="231" t="s">
        <v>133</v>
      </c>
      <c r="B134" s="226"/>
      <c r="C134" s="227"/>
      <c r="D134" s="227"/>
      <c r="E134" s="227"/>
      <c r="F134" s="228"/>
      <c r="G134" s="229"/>
      <c r="H134" s="237"/>
      <c r="I134" s="256"/>
    </row>
    <row r="135" spans="1:9">
      <c r="A135" s="225" t="s">
        <v>226</v>
      </c>
      <c r="B135" s="226">
        <v>18</v>
      </c>
      <c r="C135" s="227">
        <v>1.2</v>
      </c>
      <c r="D135" s="227">
        <v>0.25</v>
      </c>
      <c r="E135" s="227">
        <v>0.17</v>
      </c>
      <c r="F135" s="228">
        <v>1</v>
      </c>
      <c r="G135" s="229">
        <f t="shared" ref="G135:G136" si="13">+C135*D135*E135*B135</f>
        <v>0.918</v>
      </c>
      <c r="H135" s="237"/>
      <c r="I135" s="256"/>
    </row>
    <row r="136" spans="1:9">
      <c r="A136" s="225" t="s">
        <v>227</v>
      </c>
      <c r="B136" s="226">
        <v>1</v>
      </c>
      <c r="C136" s="227">
        <v>2.45</v>
      </c>
      <c r="D136" s="227">
        <v>1.3</v>
      </c>
      <c r="E136" s="227">
        <v>0.2</v>
      </c>
      <c r="F136" s="228">
        <v>1</v>
      </c>
      <c r="G136" s="229">
        <f t="shared" si="13"/>
        <v>0.637</v>
      </c>
      <c r="H136" s="237"/>
      <c r="I136" s="256"/>
    </row>
    <row r="137" spans="1:9">
      <c r="A137" s="225"/>
      <c r="B137" s="226"/>
      <c r="C137" s="227"/>
      <c r="D137" s="227"/>
      <c r="E137" s="227"/>
      <c r="F137" s="228"/>
      <c r="G137" s="229"/>
      <c r="H137" s="237">
        <f>SUM(G135:G136)</f>
        <v>1.555</v>
      </c>
      <c r="I137" s="256" t="s">
        <v>79</v>
      </c>
    </row>
    <row r="138" s="207" customFormat="1" spans="1:9">
      <c r="A138" s="225"/>
      <c r="B138" s="226"/>
      <c r="C138" s="227"/>
      <c r="D138" s="227"/>
      <c r="E138" s="227"/>
      <c r="F138" s="228"/>
      <c r="G138" s="229"/>
      <c r="H138" s="237"/>
      <c r="I138" s="256"/>
    </row>
    <row r="139" spans="1:9">
      <c r="A139" s="231" t="s">
        <v>135</v>
      </c>
      <c r="B139" s="226"/>
      <c r="C139" s="227"/>
      <c r="D139" s="227"/>
      <c r="E139" s="227"/>
      <c r="F139" s="228"/>
      <c r="G139" s="229"/>
      <c r="H139" s="237"/>
      <c r="I139" s="256"/>
    </row>
    <row r="140" spans="1:9">
      <c r="A140" s="225" t="s">
        <v>228</v>
      </c>
      <c r="B140" s="226">
        <v>1</v>
      </c>
      <c r="C140" s="227">
        <v>52.58</v>
      </c>
      <c r="D140" s="227">
        <v>0.46</v>
      </c>
      <c r="E140" s="227">
        <v>0.1</v>
      </c>
      <c r="F140" s="228">
        <v>1</v>
      </c>
      <c r="G140" s="229">
        <f>+C140*D140*E140*B140</f>
        <v>2.41868</v>
      </c>
      <c r="H140" s="237"/>
      <c r="I140" s="256"/>
    </row>
    <row r="141" spans="1:9">
      <c r="A141" s="225" t="s">
        <v>229</v>
      </c>
      <c r="B141" s="226">
        <v>1</v>
      </c>
      <c r="C141" s="227">
        <v>52.58</v>
      </c>
      <c r="D141" s="227">
        <v>0.1</v>
      </c>
      <c r="E141" s="227">
        <v>0.06</v>
      </c>
      <c r="F141" s="228">
        <v>1</v>
      </c>
      <c r="G141" s="229">
        <f t="shared" ref="G141" si="14">+C141*D141*E141*B141</f>
        <v>0.31548</v>
      </c>
      <c r="H141" s="237"/>
      <c r="I141" s="256"/>
    </row>
    <row r="142" spans="1:9">
      <c r="A142" s="225"/>
      <c r="B142" s="226"/>
      <c r="C142" s="227"/>
      <c r="D142" s="227"/>
      <c r="E142" s="227"/>
      <c r="F142" s="228"/>
      <c r="G142" s="229"/>
      <c r="H142" s="237">
        <f>SUM(G140:G142)</f>
        <v>2.73416</v>
      </c>
      <c r="I142" s="256" t="s">
        <v>79</v>
      </c>
    </row>
    <row r="143" spans="1:9">
      <c r="A143" s="231" t="s">
        <v>230</v>
      </c>
      <c r="B143" s="226"/>
      <c r="C143" s="227"/>
      <c r="D143" s="227"/>
      <c r="E143" s="227"/>
      <c r="F143" s="228"/>
      <c r="G143" s="229"/>
      <c r="H143" s="237"/>
      <c r="I143" s="256"/>
    </row>
    <row r="144" spans="1:9">
      <c r="A144" s="225"/>
      <c r="B144" s="226"/>
      <c r="C144" s="227"/>
      <c r="D144" s="227"/>
      <c r="E144" s="227"/>
      <c r="F144" s="228"/>
      <c r="G144" s="229"/>
      <c r="H144" s="237"/>
      <c r="I144" s="256"/>
    </row>
    <row r="145" spans="1:9">
      <c r="A145" s="225"/>
      <c r="B145" s="226"/>
      <c r="C145" s="227"/>
      <c r="D145" s="227"/>
      <c r="E145" s="227"/>
      <c r="F145" s="228"/>
      <c r="G145" s="229"/>
      <c r="H145" s="237"/>
      <c r="I145" s="256" t="s">
        <v>99</v>
      </c>
    </row>
    <row r="146" spans="1:9">
      <c r="A146" s="225"/>
      <c r="B146" s="226"/>
      <c r="C146" s="227"/>
      <c r="D146" s="227"/>
      <c r="E146" s="227"/>
      <c r="F146" s="228"/>
      <c r="G146" s="229"/>
      <c r="H146" s="237"/>
      <c r="I146" s="256"/>
    </row>
    <row r="147" spans="1:9">
      <c r="A147" s="231" t="s">
        <v>138</v>
      </c>
      <c r="B147" s="226"/>
      <c r="C147" s="227"/>
      <c r="D147" s="227"/>
      <c r="E147" s="227"/>
      <c r="F147" s="228"/>
      <c r="G147" s="229"/>
      <c r="H147" s="237"/>
      <c r="I147" s="256"/>
    </row>
    <row r="148" spans="1:9">
      <c r="A148" s="225" t="s">
        <v>201</v>
      </c>
      <c r="B148" s="226">
        <v>1</v>
      </c>
      <c r="C148" s="227">
        <v>21.26</v>
      </c>
      <c r="D148" s="227"/>
      <c r="E148" s="227"/>
      <c r="F148" s="228"/>
      <c r="G148" s="229">
        <f>+C148*B148</f>
        <v>21.26</v>
      </c>
      <c r="H148" s="237"/>
      <c r="I148" s="256"/>
    </row>
    <row r="149" spans="1:9">
      <c r="A149" s="225"/>
      <c r="B149" s="226">
        <v>1</v>
      </c>
      <c r="C149" s="227">
        <v>30.08</v>
      </c>
      <c r="D149" s="227"/>
      <c r="E149" s="227"/>
      <c r="F149" s="228"/>
      <c r="G149" s="229">
        <f t="shared" ref="G149:G150" si="15">+C149*B149</f>
        <v>30.08</v>
      </c>
      <c r="H149" s="237"/>
      <c r="I149" s="256"/>
    </row>
    <row r="150" spans="1:9">
      <c r="A150" s="225"/>
      <c r="B150" s="226">
        <v>1</v>
      </c>
      <c r="C150" s="227">
        <v>25.56</v>
      </c>
      <c r="D150" s="227"/>
      <c r="E150" s="227"/>
      <c r="F150" s="228"/>
      <c r="G150" s="229">
        <f t="shared" si="15"/>
        <v>25.56</v>
      </c>
      <c r="H150" s="237"/>
      <c r="I150" s="256"/>
    </row>
    <row r="151" spans="1:9">
      <c r="A151" s="225"/>
      <c r="B151" s="226"/>
      <c r="C151" s="227"/>
      <c r="D151" s="227"/>
      <c r="E151" s="227"/>
      <c r="F151" s="228"/>
      <c r="G151" s="229"/>
      <c r="H151" s="237"/>
      <c r="I151" s="256"/>
    </row>
    <row r="152" spans="1:9">
      <c r="A152" s="225" t="s">
        <v>216</v>
      </c>
      <c r="B152" s="226">
        <v>1</v>
      </c>
      <c r="C152" s="227">
        <v>21.26</v>
      </c>
      <c r="D152" s="227"/>
      <c r="E152" s="227"/>
      <c r="F152" s="228"/>
      <c r="G152" s="229">
        <f t="shared" ref="G152:G155" si="16">+C152*B152</f>
        <v>21.26</v>
      </c>
      <c r="H152" s="237"/>
      <c r="I152" s="256"/>
    </row>
    <row r="153" spans="1:9">
      <c r="A153" s="225"/>
      <c r="B153" s="226">
        <v>1</v>
      </c>
      <c r="C153" s="227">
        <v>30.08</v>
      </c>
      <c r="D153" s="227"/>
      <c r="E153" s="227"/>
      <c r="F153" s="228"/>
      <c r="G153" s="229">
        <f t="shared" si="16"/>
        <v>30.08</v>
      </c>
      <c r="H153" s="237"/>
      <c r="I153" s="256"/>
    </row>
    <row r="154" spans="1:9">
      <c r="A154" s="225"/>
      <c r="B154" s="226">
        <v>1</v>
      </c>
      <c r="C154" s="227">
        <v>42.75</v>
      </c>
      <c r="D154" s="227"/>
      <c r="E154" s="227"/>
      <c r="F154" s="228"/>
      <c r="G154" s="229">
        <f t="shared" si="16"/>
        <v>42.75</v>
      </c>
      <c r="H154" s="237"/>
      <c r="I154" s="256"/>
    </row>
    <row r="155" spans="1:9">
      <c r="A155" s="225"/>
      <c r="B155" s="226">
        <v>1</v>
      </c>
      <c r="C155" s="227">
        <v>25.52</v>
      </c>
      <c r="D155" s="227"/>
      <c r="E155" s="227"/>
      <c r="F155" s="228"/>
      <c r="G155" s="229">
        <f t="shared" si="16"/>
        <v>25.52</v>
      </c>
      <c r="H155" s="237"/>
      <c r="I155" s="256"/>
    </row>
    <row r="156" ht="16.35" spans="1:9">
      <c r="A156" s="264"/>
      <c r="B156" s="265"/>
      <c r="C156" s="266"/>
      <c r="D156" s="266"/>
      <c r="E156" s="266"/>
      <c r="F156" s="267"/>
      <c r="G156" s="268"/>
      <c r="H156" s="269">
        <f>SUM(G148:G156)</f>
        <v>196.51</v>
      </c>
      <c r="I156" s="270" t="s">
        <v>148</v>
      </c>
    </row>
    <row r="157" spans="9:9">
      <c r="I157" s="271"/>
    </row>
    <row r="158" spans="9:9">
      <c r="I158" s="271"/>
    </row>
    <row r="159" spans="9:9">
      <c r="I159" s="271"/>
    </row>
    <row r="160" spans="9:9">
      <c r="I160" s="271"/>
    </row>
    <row r="161" spans="9:9">
      <c r="I161" s="271"/>
    </row>
    <row r="162" spans="9:9">
      <c r="I162" s="271"/>
    </row>
    <row r="163" spans="9:9">
      <c r="I163" s="271"/>
    </row>
    <row r="164" spans="9:9">
      <c r="I164" s="271"/>
    </row>
    <row r="165" spans="9:9">
      <c r="I165" s="271"/>
    </row>
    <row r="166" spans="9:9">
      <c r="I166" s="271"/>
    </row>
    <row r="167" spans="9:9">
      <c r="I167" s="271"/>
    </row>
    <row r="168" spans="9:9">
      <c r="I168" s="271"/>
    </row>
    <row r="169" spans="9:9">
      <c r="I169" s="271"/>
    </row>
    <row r="170" spans="9:9">
      <c r="I170" s="271"/>
    </row>
    <row r="171" spans="9:9">
      <c r="I171" s="271"/>
    </row>
    <row r="172" spans="9:9">
      <c r="I172" s="271"/>
    </row>
    <row r="173" spans="9:9">
      <c r="I173" s="271"/>
    </row>
    <row r="174" spans="9:9">
      <c r="I174" s="271"/>
    </row>
    <row r="175" spans="9:9">
      <c r="I175" s="271"/>
    </row>
    <row r="176" spans="9:9">
      <c r="I176" s="271"/>
    </row>
    <row r="177" spans="9:9">
      <c r="I177" s="271"/>
    </row>
    <row r="178" spans="9:9">
      <c r="I178" s="271"/>
    </row>
    <row r="179" spans="9:9">
      <c r="I179" s="271"/>
    </row>
    <row r="180" spans="9:9">
      <c r="I180" s="271"/>
    </row>
    <row r="181" spans="9:9">
      <c r="I181" s="271"/>
    </row>
    <row r="182" spans="9:9">
      <c r="I182" s="271"/>
    </row>
    <row r="183" spans="9:9">
      <c r="I183" s="271"/>
    </row>
    <row r="184" spans="9:9">
      <c r="I184" s="271"/>
    </row>
    <row r="185" spans="9:9">
      <c r="I185" s="271"/>
    </row>
    <row r="186" spans="9:9">
      <c r="I186" s="271"/>
    </row>
    <row r="187" spans="9:9">
      <c r="I187" s="271"/>
    </row>
    <row r="188" spans="9:9">
      <c r="I188" s="271"/>
    </row>
    <row r="189" spans="9:9">
      <c r="I189" s="271"/>
    </row>
    <row r="190" spans="9:9">
      <c r="I190" s="271"/>
    </row>
    <row r="191" spans="9:9">
      <c r="I191" s="271"/>
    </row>
    <row r="192" spans="9:9">
      <c r="I192" s="271"/>
    </row>
    <row r="193" spans="9:9">
      <c r="I193" s="271"/>
    </row>
    <row r="194" spans="9:9">
      <c r="I194" s="271"/>
    </row>
    <row r="195" spans="9:9">
      <c r="I195" s="271"/>
    </row>
    <row r="196" spans="9:9">
      <c r="I196" s="271"/>
    </row>
    <row r="197" spans="9:9">
      <c r="I197" s="271"/>
    </row>
    <row r="198" spans="9:9">
      <c r="I198" s="271"/>
    </row>
    <row r="199" spans="9:9">
      <c r="I199" s="271"/>
    </row>
    <row r="200" spans="9:9">
      <c r="I200" s="271"/>
    </row>
    <row r="201" spans="9:9">
      <c r="I201" s="271"/>
    </row>
    <row r="202" spans="9:9">
      <c r="I202" s="271"/>
    </row>
    <row r="203" spans="9:9">
      <c r="I203" s="271"/>
    </row>
    <row r="204" spans="9:9">
      <c r="I204" s="271"/>
    </row>
    <row r="205" spans="9:9">
      <c r="I205" s="271"/>
    </row>
    <row r="206" spans="9:9">
      <c r="I206" s="271"/>
    </row>
    <row r="207" spans="9:9">
      <c r="I207" s="271"/>
    </row>
    <row r="208" spans="9:9">
      <c r="I208" s="271"/>
    </row>
  </sheetData>
  <mergeCells count="6">
    <mergeCell ref="A1:H1"/>
    <mergeCell ref="A2:H2"/>
    <mergeCell ref="A3:H3"/>
    <mergeCell ref="A4:H4"/>
    <mergeCell ref="A5:H5"/>
    <mergeCell ref="C63:D63"/>
  </mergeCells>
  <printOptions horizontalCentered="1" verticalCentered="1"/>
  <pageMargins left="0" right="0" top="0.433070866141732" bottom="0.708661417322835" header="0.275590551181102" footer="0.275590551181102"/>
  <pageSetup paperSize="9" scale="58" fitToHeight="15" orientation="portrait" horizontalDpi="300" verticalDpi="300"/>
  <headerFooter alignWithMargins="0">
    <oddHeader>&amp;LProjet :CONSTRUCTION DE BATIMENT DOUANE ZONE PSA MEDZ</oddHeader>
    <oddFooter>&amp;L&amp;"Arial,Gras"&amp;12&amp;K09-024&amp;A&amp;"Arial,Normal"&amp;10&amp;K000000
&amp;R&amp;"Arial,Gras"&amp;K05-023Page &amp;P 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58"/>
  <sheetViews>
    <sheetView view="pageBreakPreview" zoomScale="85" zoomScaleNormal="85" workbookViewId="0">
      <selection activeCell="U5" sqref="U5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6" width="9.57407407407407" style="8" customWidth="1"/>
    <col min="17" max="17" width="9.57407407407407" customWidth="1"/>
    <col min="18" max="18" width="14.138888888888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147" t="s">
        <v>231</v>
      </c>
      <c r="B1" s="148"/>
      <c r="C1" s="148"/>
      <c r="D1" s="148"/>
      <c r="E1" s="148"/>
      <c r="F1" s="148"/>
      <c r="G1" s="148"/>
      <c r="H1" s="54"/>
      <c r="I1" s="194"/>
      <c r="J1" s="194"/>
      <c r="K1" s="194"/>
      <c r="L1" s="195" t="s">
        <v>232</v>
      </c>
      <c r="M1" s="195"/>
      <c r="N1" s="196"/>
      <c r="O1" s="196" t="s">
        <v>233</v>
      </c>
      <c r="P1" s="124"/>
      <c r="Q1" s="88"/>
      <c r="R1" s="88"/>
    </row>
    <row r="2" ht="12.75" customHeight="1" spans="1:18">
      <c r="A2" s="192"/>
      <c r="B2" s="151"/>
      <c r="C2" s="151"/>
      <c r="D2" s="151"/>
      <c r="E2" s="151"/>
      <c r="F2" s="151"/>
      <c r="G2" s="151"/>
      <c r="H2" s="193"/>
      <c r="I2" s="197"/>
      <c r="J2" s="197"/>
      <c r="K2" s="197"/>
      <c r="L2" s="198" t="s">
        <v>234</v>
      </c>
      <c r="M2" s="198"/>
      <c r="N2" s="199"/>
      <c r="O2" s="199"/>
      <c r="P2" s="200"/>
      <c r="Q2" s="199"/>
      <c r="R2" s="199"/>
    </row>
    <row r="3" s="1" customFormat="1" ht="21" customHeight="1" spans="1:18">
      <c r="A3" s="100" t="s">
        <v>235</v>
      </c>
      <c r="B3" s="101" t="s">
        <v>236</v>
      </c>
      <c r="C3" s="102" t="s">
        <v>237</v>
      </c>
      <c r="D3" s="101" t="s">
        <v>238</v>
      </c>
      <c r="E3" s="101"/>
      <c r="F3" s="101" t="s">
        <v>239</v>
      </c>
      <c r="G3" s="103" t="s">
        <v>240</v>
      </c>
      <c r="H3" s="104" t="s">
        <v>241</v>
      </c>
      <c r="I3" s="125" t="s">
        <v>242</v>
      </c>
      <c r="J3" s="126"/>
      <c r="K3" s="126"/>
      <c r="L3" s="126"/>
      <c r="M3" s="126"/>
      <c r="N3" s="126"/>
      <c r="O3" s="126"/>
      <c r="P3" s="126"/>
      <c r="Q3" s="126"/>
      <c r="R3" s="130"/>
    </row>
    <row r="4" s="1" customFormat="1" ht="21" customHeight="1" spans="1:18">
      <c r="A4" s="105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131" t="s">
        <v>252</v>
      </c>
    </row>
    <row r="5" s="2" customFormat="1" ht="14.25" customHeight="1" spans="1:18">
      <c r="A5" s="154" t="s">
        <v>253</v>
      </c>
      <c r="B5" s="27"/>
      <c r="C5" s="27"/>
      <c r="D5" s="27"/>
      <c r="E5" s="27"/>
      <c r="F5" s="27"/>
      <c r="G5" s="27"/>
      <c r="H5" s="2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132" t="str">
        <f>IF(E5=40,(H5*G5*9.866)," ")</f>
        <v> </v>
      </c>
    </row>
    <row r="6" s="2" customFormat="1" ht="12" customHeight="1" spans="1:18">
      <c r="A6" s="155" t="s">
        <v>254</v>
      </c>
      <c r="B6" s="30"/>
      <c r="C6" s="31"/>
      <c r="D6" s="32"/>
      <c r="E6" s="32"/>
      <c r="F6" s="33"/>
      <c r="G6" s="33"/>
      <c r="H6" s="34"/>
      <c r="I6" s="66" t="str">
        <f t="shared" ref="I6:I11" si="0">IF(E6=6,(G6*H6*0.222)," ")</f>
        <v> </v>
      </c>
      <c r="J6" s="66" t="str">
        <f t="shared" ref="J6:J11" si="1">IF(E6=8,(H6*G6*0.395)," ")</f>
        <v> </v>
      </c>
      <c r="K6" s="66" t="str">
        <f t="shared" ref="K6:K11" si="2">IF(E6=10,(G6*H6*0.617)," ")</f>
        <v> </v>
      </c>
      <c r="L6" s="66" t="str">
        <f t="shared" ref="L6:L11" si="3">IF(E6=12,(H6*G6*0.888)," ")</f>
        <v> </v>
      </c>
      <c r="M6" s="66" t="str">
        <f t="shared" ref="M6:M11" si="4">IF(E6=14,(H6*G6*1.208)," ")</f>
        <v> </v>
      </c>
      <c r="N6" s="66" t="str">
        <f t="shared" ref="N6:N11" si="5">IF(E6=16,(H6*G6*1.578)," ")</f>
        <v> </v>
      </c>
      <c r="O6" s="66" t="str">
        <f t="shared" ref="O6:O11" si="6">IF(E6=20,(H6*G6*2.466)," ")</f>
        <v> </v>
      </c>
      <c r="P6" s="66" t="str">
        <f t="shared" ref="P6:P11" si="7">IF(E6=25,(H6*G6*3.854)," ")</f>
        <v> </v>
      </c>
      <c r="Q6" s="66" t="str">
        <f t="shared" ref="Q6:Q11" si="8">IF(E6=32,(H6*G6*6.314)," ")</f>
        <v> </v>
      </c>
      <c r="R6" s="132" t="str">
        <f t="shared" ref="R6:R11" si="9">IF(E6=40,(H6*G6*9.866)," ")</f>
        <v> </v>
      </c>
    </row>
    <row r="7" s="2" customFormat="1" ht="12" customHeight="1" spans="1:18">
      <c r="A7" s="156" t="s">
        <v>255</v>
      </c>
      <c r="B7" s="36"/>
      <c r="C7" s="33">
        <v>5</v>
      </c>
      <c r="D7" s="32" t="s">
        <v>256</v>
      </c>
      <c r="E7" s="32">
        <v>14</v>
      </c>
      <c r="F7" s="33">
        <v>3</v>
      </c>
      <c r="G7" s="33">
        <f t="shared" ref="G7:G9" si="10">F7*C7</f>
        <v>15</v>
      </c>
      <c r="H7" s="34">
        <f>1.2-0.05+0.5+50*0.014</f>
        <v>2.35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 t="str">
        <f t="shared" si="3"/>
        <v> </v>
      </c>
      <c r="M7" s="66">
        <f t="shared" si="4"/>
        <v>42.582</v>
      </c>
      <c r="N7" s="66" t="str">
        <f t="shared" si="5"/>
        <v> 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132" t="str">
        <f t="shared" si="9"/>
        <v> </v>
      </c>
    </row>
    <row r="8" s="2" customFormat="1" ht="12" customHeight="1" spans="1:18">
      <c r="A8" s="156" t="s">
        <v>257</v>
      </c>
      <c r="B8" s="33"/>
      <c r="C8" s="33">
        <v>21</v>
      </c>
      <c r="D8" s="32" t="s">
        <v>256</v>
      </c>
      <c r="E8" s="32">
        <v>8</v>
      </c>
      <c r="F8" s="33">
        <v>3</v>
      </c>
      <c r="G8" s="33">
        <f t="shared" si="10"/>
        <v>63</v>
      </c>
      <c r="H8" s="34">
        <f>3.14*0.45+10*0.008</f>
        <v>1.493</v>
      </c>
      <c r="I8" s="66" t="str">
        <f t="shared" si="0"/>
        <v> </v>
      </c>
      <c r="J8" s="66">
        <f t="shared" si="1"/>
        <v>37.153305</v>
      </c>
      <c r="K8" s="66" t="str">
        <f t="shared" si="2"/>
        <v> </v>
      </c>
      <c r="L8" s="66" t="str">
        <f t="shared" si="3"/>
        <v> </v>
      </c>
      <c r="M8" s="66" t="str">
        <f t="shared" si="4"/>
        <v> </v>
      </c>
      <c r="N8" s="66" t="str">
        <f t="shared" si="5"/>
        <v> 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132" t="str">
        <f t="shared" si="9"/>
        <v> </v>
      </c>
    </row>
    <row r="9" s="2" customFormat="1" ht="12" customHeight="1" spans="1:21">
      <c r="A9" s="156" t="s">
        <v>258</v>
      </c>
      <c r="B9" s="36"/>
      <c r="C9" s="33">
        <v>21</v>
      </c>
      <c r="D9" s="32" t="s">
        <v>256</v>
      </c>
      <c r="E9" s="32">
        <v>8</v>
      </c>
      <c r="F9" s="33">
        <v>6</v>
      </c>
      <c r="G9" s="33">
        <f t="shared" si="10"/>
        <v>126</v>
      </c>
      <c r="H9" s="34">
        <f>0.45+10*0.008</f>
        <v>0.53</v>
      </c>
      <c r="I9" s="66" t="str">
        <f t="shared" si="0"/>
        <v> </v>
      </c>
      <c r="J9" s="66">
        <f t="shared" si="1"/>
        <v>26.3781</v>
      </c>
      <c r="K9" s="66" t="str">
        <f t="shared" si="2"/>
        <v> 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132" t="str">
        <f t="shared" si="9"/>
        <v> </v>
      </c>
      <c r="U9" s="2">
        <f>35*0.014</f>
        <v>0.49</v>
      </c>
    </row>
    <row r="10" s="2" customFormat="1" ht="12" customHeight="1" spans="1:18">
      <c r="A10" s="156"/>
      <c r="B10" s="36"/>
      <c r="C10" s="33"/>
      <c r="D10" s="32"/>
      <c r="E10" s="32"/>
      <c r="F10" s="33"/>
      <c r="G10" s="33"/>
      <c r="H10" s="34"/>
      <c r="I10" s="66" t="str">
        <f t="shared" si="0"/>
        <v> </v>
      </c>
      <c r="J10" s="66" t="str">
        <f t="shared" si="1"/>
        <v> </v>
      </c>
      <c r="K10" s="66" t="str">
        <f t="shared" si="2"/>
        <v> </v>
      </c>
      <c r="L10" s="66" t="str">
        <f t="shared" si="3"/>
        <v> 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132" t="str">
        <f t="shared" si="9"/>
        <v> </v>
      </c>
    </row>
    <row r="11" s="2" customFormat="1" ht="12" customHeight="1" spans="1:18">
      <c r="A11" s="157"/>
      <c r="B11" s="38"/>
      <c r="C11" s="38"/>
      <c r="D11" s="39"/>
      <c r="E11" s="39"/>
      <c r="F11" s="38"/>
      <c r="G11" s="38"/>
      <c r="H11" s="40"/>
      <c r="I11" s="66" t="str">
        <f t="shared" si="0"/>
        <v> 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132" t="str">
        <f t="shared" si="9"/>
        <v> </v>
      </c>
    </row>
    <row r="12" ht="17.25" customHeight="1" spans="1:21">
      <c r="A12" s="112" t="s">
        <v>259</v>
      </c>
      <c r="B12" s="42"/>
      <c r="C12" s="42"/>
      <c r="D12" s="42"/>
      <c r="E12" s="42"/>
      <c r="F12" s="42"/>
      <c r="G12" s="42"/>
      <c r="H12" s="43"/>
      <c r="I12" s="67">
        <v>0.222</v>
      </c>
      <c r="J12" s="69">
        <v>0.395</v>
      </c>
      <c r="K12" s="69">
        <v>0.617</v>
      </c>
      <c r="L12" s="69">
        <v>0.888</v>
      </c>
      <c r="M12" s="69">
        <v>1.208</v>
      </c>
      <c r="N12" s="69">
        <v>1.578</v>
      </c>
      <c r="O12" s="69">
        <v>2.466</v>
      </c>
      <c r="P12" s="69">
        <v>3.854</v>
      </c>
      <c r="Q12" s="69">
        <v>6.314</v>
      </c>
      <c r="R12" s="133">
        <v>9.866</v>
      </c>
      <c r="T12" s="83"/>
      <c r="U12" s="83"/>
    </row>
    <row r="13" ht="15" customHeight="1" spans="1:21">
      <c r="A13" s="113" t="s">
        <v>260</v>
      </c>
      <c r="B13" s="45"/>
      <c r="C13" s="45"/>
      <c r="D13" s="45"/>
      <c r="E13" s="45"/>
      <c r="F13" s="45"/>
      <c r="G13" s="45"/>
      <c r="H13" s="46"/>
      <c r="I13" s="70">
        <f>SUM(I5:I11)</f>
        <v>0</v>
      </c>
      <c r="J13" s="70">
        <f t="shared" ref="J13:R13" si="11">SUM(J5:J11)</f>
        <v>63.531405</v>
      </c>
      <c r="K13" s="70">
        <f t="shared" si="11"/>
        <v>0</v>
      </c>
      <c r="L13" s="70">
        <f t="shared" si="11"/>
        <v>0</v>
      </c>
      <c r="M13" s="70">
        <f t="shared" si="11"/>
        <v>42.582</v>
      </c>
      <c r="N13" s="70">
        <f t="shared" si="11"/>
        <v>0</v>
      </c>
      <c r="O13" s="70">
        <f t="shared" si="11"/>
        <v>0</v>
      </c>
      <c r="P13" s="70">
        <f t="shared" si="11"/>
        <v>0</v>
      </c>
      <c r="Q13" s="70">
        <f t="shared" si="11"/>
        <v>0</v>
      </c>
      <c r="R13" s="134">
        <f t="shared" si="11"/>
        <v>0</v>
      </c>
      <c r="T13" s="83"/>
      <c r="U13" s="83"/>
    </row>
    <row r="14" s="3" customFormat="1" ht="16.5" customHeight="1" spans="1:21">
      <c r="A14" s="114" t="s">
        <v>261</v>
      </c>
      <c r="B14" s="48"/>
      <c r="C14" s="48"/>
      <c r="D14" s="48"/>
      <c r="E14" s="48"/>
      <c r="F14" s="48"/>
      <c r="G14" s="48"/>
      <c r="H14" s="49"/>
      <c r="I14" s="71"/>
      <c r="J14" s="72"/>
      <c r="K14" s="72"/>
      <c r="L14" s="72"/>
      <c r="M14" s="72"/>
      <c r="N14" s="72"/>
      <c r="O14" s="72"/>
      <c r="P14" s="71"/>
      <c r="Q14" s="71"/>
      <c r="R14" s="135">
        <f>(SUM(I13:R13))</f>
        <v>106.113405</v>
      </c>
      <c r="T14" s="203">
        <f>+R14+R28+R42+R56</f>
        <v>591.267105</v>
      </c>
      <c r="U14" s="86"/>
    </row>
    <row r="15" hidden="1" spans="1:18">
      <c r="A15" s="158"/>
      <c r="B15" s="51"/>
      <c r="C15" s="52"/>
      <c r="D15" s="53"/>
      <c r="E15" s="53"/>
      <c r="F15" s="53"/>
      <c r="G15" s="52"/>
      <c r="H15" s="54"/>
      <c r="I15" s="75"/>
      <c r="J15" s="75"/>
      <c r="K15" s="75"/>
      <c r="L15" s="75"/>
      <c r="M15" s="75"/>
      <c r="N15" s="75"/>
      <c r="O15" s="75"/>
      <c r="P15" s="75"/>
      <c r="Q15" s="88" t="s">
        <v>262</v>
      </c>
      <c r="R15" s="169">
        <f>0.19*3*0.8</f>
        <v>0.456</v>
      </c>
    </row>
    <row r="16" hidden="1" spans="1:18">
      <c r="A16" s="158"/>
      <c r="B16" s="51"/>
      <c r="C16" s="52"/>
      <c r="D16" s="53"/>
      <c r="E16" s="53"/>
      <c r="F16" s="53"/>
      <c r="G16" s="52"/>
      <c r="H16" s="54"/>
      <c r="I16" s="75"/>
      <c r="J16" s="75"/>
      <c r="K16" s="75"/>
      <c r="L16" s="75"/>
      <c r="M16" s="75"/>
      <c r="N16" s="75"/>
      <c r="O16" s="75"/>
      <c r="P16" s="75"/>
      <c r="Q16" s="88" t="s">
        <v>263</v>
      </c>
      <c r="R16" s="170">
        <f>R14/R15</f>
        <v>232.704835526316</v>
      </c>
    </row>
    <row r="17" ht="15.15" spans="1:18">
      <c r="A17" s="158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/>
      <c r="P17" s="75"/>
      <c r="Q17" s="88"/>
      <c r="R17" s="171"/>
    </row>
    <row r="18" s="1" customFormat="1" ht="21" customHeight="1" spans="1:18">
      <c r="A18" s="116" t="s">
        <v>235</v>
      </c>
      <c r="B18" s="17" t="s">
        <v>236</v>
      </c>
      <c r="C18" s="18" t="s">
        <v>237</v>
      </c>
      <c r="D18" s="17" t="s">
        <v>238</v>
      </c>
      <c r="E18" s="17"/>
      <c r="F18" s="17" t="s">
        <v>239</v>
      </c>
      <c r="G18" s="19" t="s">
        <v>240</v>
      </c>
      <c r="H18" s="20" t="s">
        <v>241</v>
      </c>
      <c r="I18" s="63" t="s">
        <v>242</v>
      </c>
      <c r="J18" s="64"/>
      <c r="K18" s="64"/>
      <c r="L18" s="64"/>
      <c r="M18" s="64"/>
      <c r="N18" s="64"/>
      <c r="O18" s="64"/>
      <c r="P18" s="64"/>
      <c r="Q18" s="64"/>
      <c r="R18" s="139"/>
    </row>
    <row r="19" s="1" customFormat="1" ht="15.75" customHeight="1" spans="1:18">
      <c r="A19" s="105"/>
      <c r="B19" s="22"/>
      <c r="C19" s="23"/>
      <c r="D19" s="22"/>
      <c r="E19" s="22"/>
      <c r="F19" s="22"/>
      <c r="G19" s="24"/>
      <c r="H19" s="25"/>
      <c r="I19" s="65" t="s">
        <v>243</v>
      </c>
      <c r="J19" s="65" t="s">
        <v>244</v>
      </c>
      <c r="K19" s="65" t="s">
        <v>245</v>
      </c>
      <c r="L19" s="65" t="s">
        <v>246</v>
      </c>
      <c r="M19" s="65" t="s">
        <v>247</v>
      </c>
      <c r="N19" s="65" t="s">
        <v>248</v>
      </c>
      <c r="O19" s="65" t="s">
        <v>249</v>
      </c>
      <c r="P19" s="65" t="s">
        <v>250</v>
      </c>
      <c r="Q19" s="65" t="s">
        <v>251</v>
      </c>
      <c r="R19" s="131" t="s">
        <v>252</v>
      </c>
    </row>
    <row r="20" s="2" customFormat="1" ht="14.25" customHeight="1" spans="1:18">
      <c r="A20" s="154" t="s">
        <v>253</v>
      </c>
      <c r="B20" s="27"/>
      <c r="C20" s="27"/>
      <c r="D20" s="27"/>
      <c r="E20" s="27"/>
      <c r="F20" s="27"/>
      <c r="G20" s="27"/>
      <c r="H20" s="28"/>
      <c r="I20" s="66" t="str">
        <f>IF(E20=6,(G20*H20*0.222)," ")</f>
        <v> </v>
      </c>
      <c r="J20" s="66" t="str">
        <f>IF(E20=8,(H20*G20*0.395)," ")</f>
        <v> </v>
      </c>
      <c r="K20" s="66" t="str">
        <f>IF(E20=10,(G20*H20*0.617)," ")</f>
        <v> </v>
      </c>
      <c r="L20" s="66" t="str">
        <f>IF(E20=12,(H20*G20*0.888)," ")</f>
        <v> </v>
      </c>
      <c r="M20" s="66" t="str">
        <f>IF(E20=14,(H20*G20*1.208)," ")</f>
        <v> </v>
      </c>
      <c r="N20" s="66" t="str">
        <f>IF(E20=16,(H20*G20*1.578)," ")</f>
        <v> </v>
      </c>
      <c r="O20" s="66" t="str">
        <f>IF(E20=20,(H20*G20*2.466)," ")</f>
        <v> </v>
      </c>
      <c r="P20" s="66" t="str">
        <f>IF(E20=25,(H20*G20*3.854)," ")</f>
        <v> </v>
      </c>
      <c r="Q20" s="66" t="str">
        <f>IF(E20=32,(H20*G20*6.314)," ")</f>
        <v> </v>
      </c>
      <c r="R20" s="132" t="str">
        <f>IF(E20=40,(H20*G20*9.866)," ")</f>
        <v> </v>
      </c>
    </row>
    <row r="21" s="2" customFormat="1" ht="12" customHeight="1" spans="1:18">
      <c r="A21" s="155" t="s">
        <v>264</v>
      </c>
      <c r="B21" s="30"/>
      <c r="C21" s="31"/>
      <c r="D21" s="32"/>
      <c r="E21" s="32"/>
      <c r="F21" s="33"/>
      <c r="G21" s="33"/>
      <c r="H21" s="34"/>
      <c r="I21" s="66" t="str">
        <f t="shared" ref="I21:I25" si="12">IF(E21=6,(G21*H21*0.222)," ")</f>
        <v> </v>
      </c>
      <c r="J21" s="66" t="str">
        <f t="shared" ref="J21:J25" si="13">IF(E21=8,(H21*G21*0.395)," ")</f>
        <v> </v>
      </c>
      <c r="K21" s="66" t="str">
        <f t="shared" ref="K21:K25" si="14">IF(E21=10,(G21*H21*0.617)," ")</f>
        <v> </v>
      </c>
      <c r="L21" s="66" t="str">
        <f t="shared" ref="L21:L25" si="15">IF(E21=12,(H21*G21*0.888)," ")</f>
        <v> </v>
      </c>
      <c r="M21" s="66" t="str">
        <f t="shared" ref="M21:M25" si="16">IF(E21=14,(H21*G21*1.208)," ")</f>
        <v> </v>
      </c>
      <c r="N21" s="66" t="str">
        <f t="shared" ref="N21:N25" si="17">IF(E21=16,(H21*G21*1.578)," ")</f>
        <v> </v>
      </c>
      <c r="O21" s="66" t="str">
        <f t="shared" ref="O21:O25" si="18">IF(E21=20,(H21*G21*2.466)," ")</f>
        <v> </v>
      </c>
      <c r="P21" s="66" t="str">
        <f t="shared" ref="P21:P25" si="19">IF(E21=25,(H21*G21*3.854)," ")</f>
        <v> </v>
      </c>
      <c r="Q21" s="66" t="str">
        <f t="shared" ref="Q21:Q25" si="20">IF(E21=32,(H21*G21*6.314)," ")</f>
        <v> </v>
      </c>
      <c r="R21" s="132" t="str">
        <f t="shared" ref="R21:R25" si="21">IF(E21=40,(H21*G21*9.866)," ")</f>
        <v> </v>
      </c>
    </row>
    <row r="22" s="2" customFormat="1" ht="12" customHeight="1" spans="1:18">
      <c r="A22" s="156" t="s">
        <v>255</v>
      </c>
      <c r="B22" s="36"/>
      <c r="C22" s="33">
        <v>10</v>
      </c>
      <c r="D22" s="32" t="s">
        <v>256</v>
      </c>
      <c r="E22" s="32">
        <v>14</v>
      </c>
      <c r="F22" s="33">
        <v>2</v>
      </c>
      <c r="G22" s="33">
        <f t="shared" ref="G22:G23" si="22">F22*C22</f>
        <v>20</v>
      </c>
      <c r="H22" s="34">
        <f>1.2-0.05+0.5+50*0.014</f>
        <v>2.35</v>
      </c>
      <c r="I22" s="66" t="str">
        <f t="shared" si="12"/>
        <v> </v>
      </c>
      <c r="J22" s="66" t="str">
        <f t="shared" si="13"/>
        <v> </v>
      </c>
      <c r="K22" s="66" t="str">
        <f t="shared" si="14"/>
        <v> </v>
      </c>
      <c r="L22" s="66" t="str">
        <f t="shared" si="15"/>
        <v> </v>
      </c>
      <c r="M22" s="66">
        <f t="shared" si="16"/>
        <v>56.776</v>
      </c>
      <c r="N22" s="66" t="str">
        <f t="shared" si="17"/>
        <v> </v>
      </c>
      <c r="O22" s="66" t="str">
        <f t="shared" si="18"/>
        <v> </v>
      </c>
      <c r="P22" s="66" t="str">
        <f t="shared" si="19"/>
        <v> </v>
      </c>
      <c r="Q22" s="66" t="str">
        <f t="shared" si="20"/>
        <v> </v>
      </c>
      <c r="R22" s="132" t="str">
        <f t="shared" si="21"/>
        <v> </v>
      </c>
    </row>
    <row r="23" s="2" customFormat="1" ht="12" customHeight="1" spans="1:18">
      <c r="A23" s="156" t="s">
        <v>265</v>
      </c>
      <c r="B23" s="33"/>
      <c r="C23" s="33">
        <v>18</v>
      </c>
      <c r="D23" s="32" t="s">
        <v>256</v>
      </c>
      <c r="E23" s="32">
        <v>8</v>
      </c>
      <c r="F23" s="33">
        <v>2</v>
      </c>
      <c r="G23" s="33">
        <f t="shared" si="22"/>
        <v>36</v>
      </c>
      <c r="H23" s="34">
        <f>0.25*4+0.4*3+10*0.008*4</f>
        <v>2.52</v>
      </c>
      <c r="I23" s="66" t="str">
        <f t="shared" si="12"/>
        <v> </v>
      </c>
      <c r="J23" s="66">
        <f t="shared" si="13"/>
        <v>35.8344</v>
      </c>
      <c r="K23" s="66" t="str">
        <f t="shared" si="14"/>
        <v> </v>
      </c>
      <c r="L23" s="66" t="str">
        <f t="shared" si="15"/>
        <v> </v>
      </c>
      <c r="M23" s="66" t="str">
        <f t="shared" si="16"/>
        <v> </v>
      </c>
      <c r="N23" s="66" t="str">
        <f t="shared" si="17"/>
        <v> 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132" t="str">
        <f t="shared" si="21"/>
        <v> </v>
      </c>
    </row>
    <row r="24" s="2" customFormat="1" ht="12" customHeight="1" spans="1:18">
      <c r="A24" s="156"/>
      <c r="B24" s="36"/>
      <c r="C24" s="33"/>
      <c r="D24" s="32"/>
      <c r="E24" s="32"/>
      <c r="F24" s="33"/>
      <c r="G24" s="33"/>
      <c r="H24" s="34"/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 t="str">
        <f t="shared" si="15"/>
        <v> 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132" t="str">
        <f t="shared" si="21"/>
        <v> </v>
      </c>
    </row>
    <row r="25" s="2" customFormat="1" ht="12" customHeight="1" spans="1:18">
      <c r="A25" s="157"/>
      <c r="B25" s="38"/>
      <c r="C25" s="38"/>
      <c r="D25" s="39"/>
      <c r="E25" s="39"/>
      <c r="F25" s="38"/>
      <c r="G25" s="38"/>
      <c r="H25" s="40"/>
      <c r="I25" s="66" t="str">
        <f t="shared" si="12"/>
        <v> </v>
      </c>
      <c r="J25" s="66" t="str">
        <f t="shared" si="13"/>
        <v> </v>
      </c>
      <c r="K25" s="66" t="str">
        <f t="shared" si="14"/>
        <v> 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132" t="str">
        <f t="shared" si="21"/>
        <v> </v>
      </c>
    </row>
    <row r="26" ht="17.25" customHeight="1" spans="1:21">
      <c r="A26" s="112" t="s">
        <v>259</v>
      </c>
      <c r="B26" s="42"/>
      <c r="C26" s="42"/>
      <c r="D26" s="42"/>
      <c r="E26" s="42"/>
      <c r="F26" s="42"/>
      <c r="G26" s="42"/>
      <c r="H26" s="43"/>
      <c r="I26" s="67">
        <v>0.222</v>
      </c>
      <c r="J26" s="69">
        <v>0.395</v>
      </c>
      <c r="K26" s="69">
        <v>0.617</v>
      </c>
      <c r="L26" s="69">
        <v>0.888</v>
      </c>
      <c r="M26" s="69">
        <v>1.208</v>
      </c>
      <c r="N26" s="69">
        <v>1.578</v>
      </c>
      <c r="O26" s="69">
        <v>2.466</v>
      </c>
      <c r="P26" s="69">
        <v>3.854</v>
      </c>
      <c r="Q26" s="69">
        <v>6.314</v>
      </c>
      <c r="R26" s="133">
        <v>9.866</v>
      </c>
      <c r="T26" s="83"/>
      <c r="U26" s="83"/>
    </row>
    <row r="27" ht="15" customHeight="1" spans="1:21">
      <c r="A27" s="113" t="s">
        <v>260</v>
      </c>
      <c r="B27" s="45"/>
      <c r="C27" s="45"/>
      <c r="D27" s="45"/>
      <c r="E27" s="45"/>
      <c r="F27" s="45"/>
      <c r="G27" s="45"/>
      <c r="H27" s="46"/>
      <c r="I27" s="70">
        <f>SUM(I20:I25)</f>
        <v>0</v>
      </c>
      <c r="J27" s="70">
        <f t="shared" ref="J27:R27" si="23">SUM(J20:J25)</f>
        <v>35.8344</v>
      </c>
      <c r="K27" s="70">
        <f t="shared" si="23"/>
        <v>0</v>
      </c>
      <c r="L27" s="70">
        <f t="shared" si="23"/>
        <v>0</v>
      </c>
      <c r="M27" s="70">
        <f t="shared" si="23"/>
        <v>56.776</v>
      </c>
      <c r="N27" s="70">
        <f t="shared" si="23"/>
        <v>0</v>
      </c>
      <c r="O27" s="70">
        <f t="shared" si="23"/>
        <v>0</v>
      </c>
      <c r="P27" s="70">
        <f t="shared" si="23"/>
        <v>0</v>
      </c>
      <c r="Q27" s="70">
        <f t="shared" si="23"/>
        <v>0</v>
      </c>
      <c r="R27" s="134">
        <f t="shared" si="23"/>
        <v>0</v>
      </c>
      <c r="T27" s="83"/>
      <c r="U27" s="83"/>
    </row>
    <row r="28" s="3" customFormat="1" ht="16.5" customHeight="1" spans="1:21">
      <c r="A28" s="114" t="s">
        <v>261</v>
      </c>
      <c r="B28" s="48"/>
      <c r="C28" s="48"/>
      <c r="D28" s="48"/>
      <c r="E28" s="48"/>
      <c r="F28" s="48"/>
      <c r="G28" s="48"/>
      <c r="H28" s="49"/>
      <c r="I28" s="71"/>
      <c r="J28" s="72"/>
      <c r="K28" s="72"/>
      <c r="L28" s="72"/>
      <c r="M28" s="72"/>
      <c r="N28" s="72"/>
      <c r="O28" s="72"/>
      <c r="P28" s="71"/>
      <c r="Q28" s="71"/>
      <c r="R28" s="135">
        <f>(SUM(I27:R27))</f>
        <v>92.6104</v>
      </c>
      <c r="T28" s="86"/>
      <c r="U28" s="86"/>
    </row>
    <row r="29" hidden="1" spans="1:18">
      <c r="A29" s="158"/>
      <c r="B29" s="51"/>
      <c r="C29" s="52"/>
      <c r="D29" s="53"/>
      <c r="E29" s="53"/>
      <c r="F29" s="53"/>
      <c r="G29" s="52"/>
      <c r="H29" s="54"/>
      <c r="I29" s="75"/>
      <c r="J29" s="75"/>
      <c r="K29" s="75"/>
      <c r="L29" s="75"/>
      <c r="M29" s="75"/>
      <c r="N29" s="75"/>
      <c r="O29" s="75"/>
      <c r="P29" s="75"/>
      <c r="Q29" s="88" t="s">
        <v>262</v>
      </c>
      <c r="R29" s="169">
        <f>0.45*0.3*0.9*2</f>
        <v>0.243</v>
      </c>
    </row>
    <row r="30" hidden="1" spans="1:18">
      <c r="A30" s="158"/>
      <c r="B30" s="51"/>
      <c r="C30" s="52"/>
      <c r="D30" s="53"/>
      <c r="E30" s="53"/>
      <c r="F30" s="53"/>
      <c r="G30" s="52"/>
      <c r="H30" s="54"/>
      <c r="I30" s="75"/>
      <c r="J30" s="75"/>
      <c r="K30" s="75"/>
      <c r="L30" s="75"/>
      <c r="M30" s="75"/>
      <c r="N30" s="75"/>
      <c r="O30" s="75"/>
      <c r="P30" s="75"/>
      <c r="Q30" s="88" t="s">
        <v>263</v>
      </c>
      <c r="R30" s="170">
        <f>R28/R29</f>
        <v>381.112757201646</v>
      </c>
    </row>
    <row r="31" ht="15.15" spans="1:18">
      <c r="A31" s="158"/>
      <c r="B31" s="51"/>
      <c r="C31" s="52"/>
      <c r="D31" s="53"/>
      <c r="E31" s="53"/>
      <c r="F31" s="53"/>
      <c r="G31" s="52"/>
      <c r="H31" s="54"/>
      <c r="I31" s="75"/>
      <c r="J31" s="75"/>
      <c r="K31" s="75"/>
      <c r="L31" s="75"/>
      <c r="M31" s="75"/>
      <c r="N31" s="75"/>
      <c r="O31" s="75"/>
      <c r="P31" s="75"/>
      <c r="Q31" s="88"/>
      <c r="R31" s="171"/>
    </row>
    <row r="32" s="1" customFormat="1" ht="21" customHeight="1" spans="1:18">
      <c r="A32" s="116" t="s">
        <v>235</v>
      </c>
      <c r="B32" s="17" t="s">
        <v>236</v>
      </c>
      <c r="C32" s="18" t="s">
        <v>237</v>
      </c>
      <c r="D32" s="17" t="s">
        <v>238</v>
      </c>
      <c r="E32" s="17"/>
      <c r="F32" s="17" t="s">
        <v>239</v>
      </c>
      <c r="G32" s="19" t="s">
        <v>240</v>
      </c>
      <c r="H32" s="20" t="s">
        <v>241</v>
      </c>
      <c r="I32" s="63" t="s">
        <v>242</v>
      </c>
      <c r="J32" s="64"/>
      <c r="K32" s="64"/>
      <c r="L32" s="64"/>
      <c r="M32" s="64"/>
      <c r="N32" s="64"/>
      <c r="O32" s="64"/>
      <c r="P32" s="64"/>
      <c r="Q32" s="64"/>
      <c r="R32" s="139"/>
    </row>
    <row r="33" s="1" customFormat="1" ht="15.75" customHeight="1" spans="1:18">
      <c r="A33" s="105"/>
      <c r="B33" s="22"/>
      <c r="C33" s="23"/>
      <c r="D33" s="22"/>
      <c r="E33" s="22"/>
      <c r="F33" s="22"/>
      <c r="G33" s="24"/>
      <c r="H33" s="25"/>
      <c r="I33" s="65" t="s">
        <v>243</v>
      </c>
      <c r="J33" s="65" t="s">
        <v>244</v>
      </c>
      <c r="K33" s="65" t="s">
        <v>245</v>
      </c>
      <c r="L33" s="65" t="s">
        <v>246</v>
      </c>
      <c r="M33" s="65" t="s">
        <v>247</v>
      </c>
      <c r="N33" s="65" t="s">
        <v>248</v>
      </c>
      <c r="O33" s="65" t="s">
        <v>249</v>
      </c>
      <c r="P33" s="65" t="s">
        <v>250</v>
      </c>
      <c r="Q33" s="65" t="s">
        <v>251</v>
      </c>
      <c r="R33" s="131" t="s">
        <v>252</v>
      </c>
    </row>
    <row r="34" s="2" customFormat="1" ht="14.25" customHeight="1" spans="1:18">
      <c r="A34" s="154" t="s">
        <v>253</v>
      </c>
      <c r="B34" s="27"/>
      <c r="C34" s="27"/>
      <c r="D34" s="27"/>
      <c r="E34" s="27"/>
      <c r="F34" s="27"/>
      <c r="G34" s="27"/>
      <c r="H34" s="28"/>
      <c r="I34" s="66" t="str">
        <f>IF(E34=6,(G34*H34*0.222)," ")</f>
        <v> </v>
      </c>
      <c r="J34" s="66" t="str">
        <f>IF(E34=8,(H34*G34*0.395)," ")</f>
        <v> </v>
      </c>
      <c r="K34" s="66" t="str">
        <f>IF(E34=10,(G34*H34*0.617)," ")</f>
        <v> </v>
      </c>
      <c r="L34" s="66" t="str">
        <f>IF(E34=12,(H34*G34*0.888)," ")</f>
        <v> </v>
      </c>
      <c r="M34" s="66" t="str">
        <f>IF(E34=14,(H34*G34*1.208)," ")</f>
        <v> </v>
      </c>
      <c r="N34" s="66" t="str">
        <f>IF(E34=16,(H34*G34*1.578)," ")</f>
        <v> </v>
      </c>
      <c r="O34" s="66" t="str">
        <f>IF(E34=20,(H34*G34*2.466)," ")</f>
        <v> </v>
      </c>
      <c r="P34" s="66" t="str">
        <f>IF(E34=25,(H34*G34*3.854)," ")</f>
        <v> </v>
      </c>
      <c r="Q34" s="66" t="str">
        <f>IF(E34=32,(H34*G34*6.314)," ")</f>
        <v> </v>
      </c>
      <c r="R34" s="132" t="str">
        <f>IF(E34=40,(H34*G34*9.866)," ")</f>
        <v> </v>
      </c>
    </row>
    <row r="35" s="2" customFormat="1" ht="12" customHeight="1" spans="1:18">
      <c r="A35" s="155" t="s">
        <v>266</v>
      </c>
      <c r="B35" s="30"/>
      <c r="C35" s="31"/>
      <c r="D35" s="32"/>
      <c r="E35" s="32"/>
      <c r="F35" s="33"/>
      <c r="G35" s="33"/>
      <c r="H35" s="34"/>
      <c r="I35" s="66" t="str">
        <f t="shared" ref="I35:I39" si="24">IF(E35=6,(G35*H35*0.222)," ")</f>
        <v> </v>
      </c>
      <c r="J35" s="66" t="str">
        <f t="shared" ref="J35:J39" si="25">IF(E35=8,(H35*G35*0.395)," ")</f>
        <v> </v>
      </c>
      <c r="K35" s="66" t="str">
        <f t="shared" ref="K35:K39" si="26">IF(E35=10,(G35*H35*0.617)," ")</f>
        <v> </v>
      </c>
      <c r="L35" s="66" t="str">
        <f t="shared" ref="L35:L39" si="27">IF(E35=12,(H35*G35*0.888)," ")</f>
        <v> </v>
      </c>
      <c r="M35" s="66" t="str">
        <f t="shared" ref="M35:M39" si="28">IF(E35=14,(H35*G35*1.208)," ")</f>
        <v> </v>
      </c>
      <c r="N35" s="66" t="str">
        <f t="shared" ref="N35:N39" si="29">IF(E35=16,(H35*G35*1.578)," ")</f>
        <v> </v>
      </c>
      <c r="O35" s="66" t="str">
        <f t="shared" ref="O35:O39" si="30">IF(E35=20,(H35*G35*2.466)," ")</f>
        <v> </v>
      </c>
      <c r="P35" s="66" t="str">
        <f t="shared" ref="P35:P39" si="31">IF(E35=25,(H35*G35*3.854)," ")</f>
        <v> </v>
      </c>
      <c r="Q35" s="66" t="str">
        <f t="shared" ref="Q35:Q39" si="32">IF(E35=32,(H35*G35*6.314)," ")</f>
        <v> </v>
      </c>
      <c r="R35" s="132" t="str">
        <f t="shared" ref="R35:R39" si="33">IF(E35=40,(H35*G35*9.866)," ")</f>
        <v> </v>
      </c>
    </row>
    <row r="36" s="2" customFormat="1" ht="12" customHeight="1" spans="1:18">
      <c r="A36" s="156" t="s">
        <v>255</v>
      </c>
      <c r="B36" s="36"/>
      <c r="C36" s="33">
        <v>14</v>
      </c>
      <c r="D36" s="32" t="s">
        <v>256</v>
      </c>
      <c r="E36" s="32">
        <v>14</v>
      </c>
      <c r="F36" s="33">
        <v>3</v>
      </c>
      <c r="G36" s="33">
        <f t="shared" ref="G36:G37" si="34">F36*C36</f>
        <v>42</v>
      </c>
      <c r="H36" s="34">
        <f>1.2-0.05+0.5+50*0.014</f>
        <v>2.35</v>
      </c>
      <c r="I36" s="66" t="str">
        <f t="shared" si="24"/>
        <v> </v>
      </c>
      <c r="J36" s="66" t="str">
        <f t="shared" si="25"/>
        <v> </v>
      </c>
      <c r="K36" s="66" t="str">
        <f t="shared" si="26"/>
        <v> </v>
      </c>
      <c r="L36" s="66" t="str">
        <f t="shared" si="27"/>
        <v> </v>
      </c>
      <c r="M36" s="66">
        <f t="shared" si="28"/>
        <v>119.2296</v>
      </c>
      <c r="N36" s="66" t="str">
        <f t="shared" si="29"/>
        <v> </v>
      </c>
      <c r="O36" s="66" t="str">
        <f t="shared" si="30"/>
        <v> </v>
      </c>
      <c r="P36" s="66" t="str">
        <f t="shared" si="31"/>
        <v> </v>
      </c>
      <c r="Q36" s="66" t="str">
        <f t="shared" si="32"/>
        <v> </v>
      </c>
      <c r="R36" s="132" t="str">
        <f t="shared" si="33"/>
        <v> </v>
      </c>
    </row>
    <row r="37" s="2" customFormat="1" ht="12" customHeight="1" spans="1:18">
      <c r="A37" s="156" t="s">
        <v>265</v>
      </c>
      <c r="B37" s="33"/>
      <c r="C37" s="33">
        <v>18</v>
      </c>
      <c r="D37" s="32" t="s">
        <v>256</v>
      </c>
      <c r="E37" s="32">
        <v>8</v>
      </c>
      <c r="F37" s="33">
        <v>3</v>
      </c>
      <c r="G37" s="33">
        <f t="shared" si="34"/>
        <v>54</v>
      </c>
      <c r="H37" s="34">
        <f>0.25*6+0.57*3+10*0.008*6</f>
        <v>3.69</v>
      </c>
      <c r="I37" s="66" t="str">
        <f t="shared" si="24"/>
        <v> </v>
      </c>
      <c r="J37" s="66">
        <f t="shared" si="25"/>
        <v>78.7077</v>
      </c>
      <c r="K37" s="66" t="str">
        <f t="shared" si="26"/>
        <v> </v>
      </c>
      <c r="L37" s="66" t="str">
        <f t="shared" si="27"/>
        <v> </v>
      </c>
      <c r="M37" s="66" t="str">
        <f t="shared" si="28"/>
        <v> </v>
      </c>
      <c r="N37" s="66" t="str">
        <f t="shared" si="29"/>
        <v> </v>
      </c>
      <c r="O37" s="66" t="str">
        <f t="shared" si="30"/>
        <v> </v>
      </c>
      <c r="P37" s="66" t="str">
        <f t="shared" si="31"/>
        <v> </v>
      </c>
      <c r="Q37" s="66" t="str">
        <f t="shared" si="32"/>
        <v> </v>
      </c>
      <c r="R37" s="132" t="str">
        <f t="shared" si="33"/>
        <v> </v>
      </c>
    </row>
    <row r="38" s="2" customFormat="1" ht="12" customHeight="1" spans="1:18">
      <c r="A38" s="156"/>
      <c r="B38" s="36"/>
      <c r="C38" s="33"/>
      <c r="D38" s="32"/>
      <c r="E38" s="32"/>
      <c r="F38" s="33"/>
      <c r="G38" s="33"/>
      <c r="H38" s="34"/>
      <c r="I38" s="66" t="str">
        <f t="shared" si="24"/>
        <v> </v>
      </c>
      <c r="J38" s="66" t="str">
        <f t="shared" si="25"/>
        <v> </v>
      </c>
      <c r="K38" s="66" t="str">
        <f t="shared" si="26"/>
        <v> </v>
      </c>
      <c r="L38" s="66" t="str">
        <f t="shared" si="27"/>
        <v> </v>
      </c>
      <c r="M38" s="66" t="str">
        <f t="shared" si="28"/>
        <v> </v>
      </c>
      <c r="N38" s="66" t="str">
        <f t="shared" si="29"/>
        <v> </v>
      </c>
      <c r="O38" s="66" t="str">
        <f t="shared" si="30"/>
        <v> </v>
      </c>
      <c r="P38" s="66" t="str">
        <f t="shared" si="31"/>
        <v> </v>
      </c>
      <c r="Q38" s="66" t="str">
        <f t="shared" si="32"/>
        <v> </v>
      </c>
      <c r="R38" s="132" t="str">
        <f t="shared" si="33"/>
        <v> </v>
      </c>
    </row>
    <row r="39" s="2" customFormat="1" ht="12" customHeight="1" spans="1:18">
      <c r="A39" s="157"/>
      <c r="B39" s="38"/>
      <c r="C39" s="38"/>
      <c r="D39" s="39"/>
      <c r="E39" s="39"/>
      <c r="F39" s="38"/>
      <c r="G39" s="38"/>
      <c r="H39" s="40"/>
      <c r="I39" s="66" t="str">
        <f t="shared" si="24"/>
        <v> </v>
      </c>
      <c r="J39" s="66" t="str">
        <f t="shared" si="25"/>
        <v> </v>
      </c>
      <c r="K39" s="66" t="str">
        <f t="shared" si="26"/>
        <v> </v>
      </c>
      <c r="L39" s="66" t="str">
        <f t="shared" si="27"/>
        <v> </v>
      </c>
      <c r="M39" s="66" t="str">
        <f t="shared" si="28"/>
        <v> </v>
      </c>
      <c r="N39" s="66" t="str">
        <f t="shared" si="29"/>
        <v> </v>
      </c>
      <c r="O39" s="66" t="str">
        <f t="shared" si="30"/>
        <v> </v>
      </c>
      <c r="P39" s="66" t="str">
        <f t="shared" si="31"/>
        <v> </v>
      </c>
      <c r="Q39" s="66" t="str">
        <f t="shared" si="32"/>
        <v> </v>
      </c>
      <c r="R39" s="132" t="str">
        <f t="shared" si="33"/>
        <v> </v>
      </c>
    </row>
    <row r="40" ht="17.25" customHeight="1" spans="1:21">
      <c r="A40" s="112" t="s">
        <v>259</v>
      </c>
      <c r="B40" s="42"/>
      <c r="C40" s="42"/>
      <c r="D40" s="42"/>
      <c r="E40" s="42"/>
      <c r="F40" s="42"/>
      <c r="G40" s="42"/>
      <c r="H40" s="43"/>
      <c r="I40" s="67">
        <v>0.222</v>
      </c>
      <c r="J40" s="69">
        <v>0.395</v>
      </c>
      <c r="K40" s="69">
        <v>0.617</v>
      </c>
      <c r="L40" s="69">
        <v>0.888</v>
      </c>
      <c r="M40" s="69">
        <v>1.208</v>
      </c>
      <c r="N40" s="69">
        <v>1.578</v>
      </c>
      <c r="O40" s="69">
        <v>2.466</v>
      </c>
      <c r="P40" s="69">
        <v>3.854</v>
      </c>
      <c r="Q40" s="69">
        <v>6.314</v>
      </c>
      <c r="R40" s="133">
        <v>9.866</v>
      </c>
      <c r="T40" s="83"/>
      <c r="U40" s="83"/>
    </row>
    <row r="41" ht="15" customHeight="1" spans="1:21">
      <c r="A41" s="113" t="s">
        <v>260</v>
      </c>
      <c r="B41" s="45"/>
      <c r="C41" s="45"/>
      <c r="D41" s="45"/>
      <c r="E41" s="45"/>
      <c r="F41" s="45"/>
      <c r="G41" s="45"/>
      <c r="H41" s="46"/>
      <c r="I41" s="70">
        <f>SUM(I34:I39)</f>
        <v>0</v>
      </c>
      <c r="J41" s="70">
        <f t="shared" ref="J41:R41" si="35">SUM(J34:J39)</f>
        <v>78.7077</v>
      </c>
      <c r="K41" s="70">
        <f t="shared" si="35"/>
        <v>0</v>
      </c>
      <c r="L41" s="70">
        <f t="shared" si="35"/>
        <v>0</v>
      </c>
      <c r="M41" s="70">
        <f t="shared" si="35"/>
        <v>119.2296</v>
      </c>
      <c r="N41" s="70">
        <f t="shared" si="35"/>
        <v>0</v>
      </c>
      <c r="O41" s="70">
        <f t="shared" si="35"/>
        <v>0</v>
      </c>
      <c r="P41" s="70">
        <f t="shared" si="35"/>
        <v>0</v>
      </c>
      <c r="Q41" s="70">
        <f t="shared" si="35"/>
        <v>0</v>
      </c>
      <c r="R41" s="134">
        <f t="shared" si="35"/>
        <v>0</v>
      </c>
      <c r="T41" s="83"/>
      <c r="U41" s="83"/>
    </row>
    <row r="42" s="3" customFormat="1" ht="16.5" customHeight="1" spans="1:21">
      <c r="A42" s="114" t="s">
        <v>261</v>
      </c>
      <c r="B42" s="48"/>
      <c r="C42" s="48"/>
      <c r="D42" s="48"/>
      <c r="E42" s="48"/>
      <c r="F42" s="48"/>
      <c r="G42" s="48"/>
      <c r="H42" s="49"/>
      <c r="I42" s="71"/>
      <c r="J42" s="72"/>
      <c r="K42" s="72"/>
      <c r="L42" s="72"/>
      <c r="M42" s="72"/>
      <c r="N42" s="72"/>
      <c r="O42" s="72"/>
      <c r="P42" s="71"/>
      <c r="Q42" s="71"/>
      <c r="R42" s="135">
        <f>(SUM(I41:R41))</f>
        <v>197.9373</v>
      </c>
      <c r="T42" s="86"/>
      <c r="U42" s="86"/>
    </row>
    <row r="43" hidden="1" spans="1:18">
      <c r="A43" s="158"/>
      <c r="B43" s="51"/>
      <c r="C43" s="52"/>
      <c r="D43" s="53"/>
      <c r="E43" s="53"/>
      <c r="F43" s="53"/>
      <c r="G43" s="52"/>
      <c r="H43" s="54"/>
      <c r="I43" s="75"/>
      <c r="J43" s="75"/>
      <c r="K43" s="75"/>
      <c r="L43" s="75"/>
      <c r="M43" s="75"/>
      <c r="N43" s="75"/>
      <c r="O43" s="75"/>
      <c r="P43" s="75"/>
      <c r="Q43" s="88" t="s">
        <v>262</v>
      </c>
      <c r="R43" s="169">
        <f>0.62*0.3*0.9</f>
        <v>0.1674</v>
      </c>
    </row>
    <row r="44" hidden="1" spans="1:18">
      <c r="A44" s="158"/>
      <c r="B44" s="51"/>
      <c r="C44" s="52"/>
      <c r="D44" s="53"/>
      <c r="E44" s="53"/>
      <c r="F44" s="53"/>
      <c r="G44" s="52"/>
      <c r="H44" s="54"/>
      <c r="I44" s="75"/>
      <c r="J44" s="75"/>
      <c r="K44" s="75"/>
      <c r="L44" s="75"/>
      <c r="M44" s="75"/>
      <c r="N44" s="75"/>
      <c r="O44" s="75"/>
      <c r="P44" s="75"/>
      <c r="Q44" s="88" t="s">
        <v>263</v>
      </c>
      <c r="R44" s="170">
        <f>R42/R43</f>
        <v>1182.42114695341</v>
      </c>
    </row>
    <row r="45" ht="15.15" spans="1:18">
      <c r="A45" s="158"/>
      <c r="B45" s="51"/>
      <c r="C45" s="52"/>
      <c r="D45" s="53"/>
      <c r="E45" s="53"/>
      <c r="F45" s="53"/>
      <c r="G45" s="52"/>
      <c r="H45" s="54"/>
      <c r="I45" s="75"/>
      <c r="J45" s="75"/>
      <c r="K45" s="75"/>
      <c r="L45" s="75"/>
      <c r="M45" s="75"/>
      <c r="N45" s="75"/>
      <c r="O45" s="75"/>
      <c r="P45" s="75"/>
      <c r="Q45" s="88"/>
      <c r="R45" s="171"/>
    </row>
    <row r="46" s="1" customFormat="1" ht="21" customHeight="1" spans="1:18">
      <c r="A46" s="116" t="s">
        <v>235</v>
      </c>
      <c r="B46" s="17" t="s">
        <v>236</v>
      </c>
      <c r="C46" s="18" t="s">
        <v>237</v>
      </c>
      <c r="D46" s="17" t="s">
        <v>238</v>
      </c>
      <c r="E46" s="17"/>
      <c r="F46" s="17" t="s">
        <v>239</v>
      </c>
      <c r="G46" s="19" t="s">
        <v>240</v>
      </c>
      <c r="H46" s="20" t="s">
        <v>241</v>
      </c>
      <c r="I46" s="63" t="s">
        <v>242</v>
      </c>
      <c r="J46" s="64"/>
      <c r="K46" s="64"/>
      <c r="L46" s="64"/>
      <c r="M46" s="64"/>
      <c r="N46" s="64"/>
      <c r="O46" s="64"/>
      <c r="P46" s="64"/>
      <c r="Q46" s="64"/>
      <c r="R46" s="139"/>
    </row>
    <row r="47" s="1" customFormat="1" ht="15.75" customHeight="1" spans="1:18">
      <c r="A47" s="105"/>
      <c r="B47" s="22"/>
      <c r="C47" s="23"/>
      <c r="D47" s="22"/>
      <c r="E47" s="22"/>
      <c r="F47" s="22"/>
      <c r="G47" s="24"/>
      <c r="H47" s="25"/>
      <c r="I47" s="65" t="s">
        <v>243</v>
      </c>
      <c r="J47" s="65" t="s">
        <v>244</v>
      </c>
      <c r="K47" s="65" t="s">
        <v>245</v>
      </c>
      <c r="L47" s="65" t="s">
        <v>246</v>
      </c>
      <c r="M47" s="65" t="s">
        <v>247</v>
      </c>
      <c r="N47" s="65" t="s">
        <v>248</v>
      </c>
      <c r="O47" s="65" t="s">
        <v>249</v>
      </c>
      <c r="P47" s="65" t="s">
        <v>250</v>
      </c>
      <c r="Q47" s="65" t="s">
        <v>251</v>
      </c>
      <c r="R47" s="131" t="s">
        <v>252</v>
      </c>
    </row>
    <row r="48" s="2" customFormat="1" ht="14.25" customHeight="1" spans="1:18">
      <c r="A48" s="154" t="s">
        <v>253</v>
      </c>
      <c r="B48" s="27"/>
      <c r="C48" s="27"/>
      <c r="D48" s="27"/>
      <c r="E48" s="27"/>
      <c r="F48" s="27"/>
      <c r="G48" s="27"/>
      <c r="H48" s="28"/>
      <c r="I48" s="66" t="str">
        <f>IF(E48=6,(G48*H48*0.222)," ")</f>
        <v> </v>
      </c>
      <c r="J48" s="66" t="str">
        <f>IF(E48=8,(H48*G48*0.395)," ")</f>
        <v> </v>
      </c>
      <c r="K48" s="66" t="str">
        <f>IF(E48=10,(G48*H48*0.617)," ")</f>
        <v> </v>
      </c>
      <c r="L48" s="66" t="str">
        <f>IF(E48=12,(H48*G48*0.888)," ")</f>
        <v> </v>
      </c>
      <c r="M48" s="66" t="str">
        <f>IF(E48=14,(H48*G48*1.208)," ")</f>
        <v> </v>
      </c>
      <c r="N48" s="66" t="str">
        <f>IF(E48=16,(H48*G48*1.578)," ")</f>
        <v> </v>
      </c>
      <c r="O48" s="66" t="str">
        <f>IF(E48=20,(H48*G48*2.466)," ")</f>
        <v> </v>
      </c>
      <c r="P48" s="66" t="str">
        <f>IF(E48=25,(H48*G48*3.854)," ")</f>
        <v> </v>
      </c>
      <c r="Q48" s="66" t="str">
        <f>IF(E48=32,(H48*G48*6.314)," ")</f>
        <v> </v>
      </c>
      <c r="R48" s="132" t="str">
        <f>IF(E48=40,(H48*G48*9.866)," ")</f>
        <v> </v>
      </c>
    </row>
    <row r="49" s="2" customFormat="1" ht="12" customHeight="1" spans="1:18">
      <c r="A49" s="155" t="s">
        <v>267</v>
      </c>
      <c r="B49" s="30"/>
      <c r="C49" s="31"/>
      <c r="D49" s="32"/>
      <c r="E49" s="32"/>
      <c r="F49" s="33"/>
      <c r="G49" s="33"/>
      <c r="H49" s="34"/>
      <c r="I49" s="66" t="str">
        <f t="shared" ref="I49:I53" si="36">IF(E49=6,(G49*H49*0.222)," ")</f>
        <v> </v>
      </c>
      <c r="J49" s="66" t="str">
        <f t="shared" ref="J49:J53" si="37">IF(E49=8,(H49*G49*0.395)," ")</f>
        <v> </v>
      </c>
      <c r="K49" s="66" t="str">
        <f t="shared" ref="K49:K53" si="38">IF(E49=10,(G49*H49*0.617)," ")</f>
        <v> </v>
      </c>
      <c r="L49" s="66" t="str">
        <f t="shared" ref="L49:L53" si="39">IF(E49=12,(H49*G49*0.888)," ")</f>
        <v> </v>
      </c>
      <c r="M49" s="66" t="str">
        <f t="shared" ref="M49:M53" si="40">IF(E49=14,(H49*G49*1.208)," ")</f>
        <v> </v>
      </c>
      <c r="N49" s="66" t="str">
        <f t="shared" ref="N49:N53" si="41">IF(E49=16,(H49*G49*1.578)," ")</f>
        <v> </v>
      </c>
      <c r="O49" s="66" t="str">
        <f t="shared" ref="O49:O53" si="42">IF(E49=20,(H49*G49*2.466)," ")</f>
        <v> </v>
      </c>
      <c r="P49" s="66" t="str">
        <f t="shared" ref="P49:P53" si="43">IF(E49=25,(H49*G49*3.854)," ")</f>
        <v> </v>
      </c>
      <c r="Q49" s="66" t="str">
        <f t="shared" ref="Q49:Q53" si="44">IF(E49=32,(H49*G49*6.314)," ")</f>
        <v> </v>
      </c>
      <c r="R49" s="132" t="str">
        <f t="shared" ref="R49:R53" si="45">IF(E49=40,(H49*G49*9.866)," ")</f>
        <v> </v>
      </c>
    </row>
    <row r="50" s="2" customFormat="1" ht="12" customHeight="1" spans="1:18">
      <c r="A50" s="156" t="s">
        <v>255</v>
      </c>
      <c r="B50" s="36"/>
      <c r="C50" s="33">
        <v>20</v>
      </c>
      <c r="D50" s="32" t="s">
        <v>256</v>
      </c>
      <c r="E50" s="32">
        <v>14</v>
      </c>
      <c r="F50" s="33">
        <v>2</v>
      </c>
      <c r="G50" s="33">
        <f t="shared" ref="G50:G51" si="46">F50*C50</f>
        <v>40</v>
      </c>
      <c r="H50" s="34">
        <f>1.2-0.05+0.5+50*0.014</f>
        <v>2.35</v>
      </c>
      <c r="I50" s="66" t="str">
        <f t="shared" si="36"/>
        <v> </v>
      </c>
      <c r="J50" s="66" t="str">
        <f t="shared" si="37"/>
        <v> </v>
      </c>
      <c r="K50" s="66" t="str">
        <f t="shared" si="38"/>
        <v> </v>
      </c>
      <c r="L50" s="66" t="str">
        <f t="shared" si="39"/>
        <v> </v>
      </c>
      <c r="M50" s="66">
        <f t="shared" si="40"/>
        <v>113.552</v>
      </c>
      <c r="N50" s="66" t="str">
        <f t="shared" si="41"/>
        <v> </v>
      </c>
      <c r="O50" s="66" t="str">
        <f t="shared" si="42"/>
        <v> </v>
      </c>
      <c r="P50" s="66" t="str">
        <f t="shared" si="43"/>
        <v> </v>
      </c>
      <c r="Q50" s="66" t="str">
        <f t="shared" si="44"/>
        <v> </v>
      </c>
      <c r="R50" s="132" t="str">
        <f t="shared" si="45"/>
        <v> </v>
      </c>
    </row>
    <row r="51" s="2" customFormat="1" ht="12" customHeight="1" spans="1:18">
      <c r="A51" s="156" t="s">
        <v>265</v>
      </c>
      <c r="B51" s="33"/>
      <c r="C51" s="33">
        <v>18</v>
      </c>
      <c r="D51" s="32" t="s">
        <v>256</v>
      </c>
      <c r="E51" s="32">
        <v>8</v>
      </c>
      <c r="F51" s="33">
        <v>2</v>
      </c>
      <c r="G51" s="33">
        <f t="shared" si="46"/>
        <v>36</v>
      </c>
      <c r="H51" s="34">
        <f>0.25*9+0.91*3+10*0.008*9</f>
        <v>5.7</v>
      </c>
      <c r="I51" s="66" t="str">
        <f t="shared" si="36"/>
        <v> </v>
      </c>
      <c r="J51" s="66">
        <f t="shared" si="37"/>
        <v>81.054</v>
      </c>
      <c r="K51" s="66" t="str">
        <f t="shared" si="38"/>
        <v> </v>
      </c>
      <c r="L51" s="66" t="str">
        <f t="shared" si="39"/>
        <v> </v>
      </c>
      <c r="M51" s="66" t="str">
        <f t="shared" si="40"/>
        <v> </v>
      </c>
      <c r="N51" s="66" t="str">
        <f t="shared" si="41"/>
        <v> </v>
      </c>
      <c r="O51" s="66" t="str">
        <f t="shared" si="42"/>
        <v> </v>
      </c>
      <c r="P51" s="66" t="str">
        <f t="shared" si="43"/>
        <v> </v>
      </c>
      <c r="Q51" s="66" t="str">
        <f t="shared" si="44"/>
        <v> </v>
      </c>
      <c r="R51" s="132" t="str">
        <f t="shared" si="45"/>
        <v> </v>
      </c>
    </row>
    <row r="52" s="2" customFormat="1" ht="12" customHeight="1" spans="1:18">
      <c r="A52" s="156"/>
      <c r="B52" s="36"/>
      <c r="C52" s="33"/>
      <c r="D52" s="32"/>
      <c r="E52" s="32"/>
      <c r="F52" s="33"/>
      <c r="G52" s="33"/>
      <c r="H52" s="34"/>
      <c r="I52" s="66" t="str">
        <f t="shared" si="36"/>
        <v> </v>
      </c>
      <c r="J52" s="66" t="str">
        <f t="shared" si="37"/>
        <v> </v>
      </c>
      <c r="K52" s="66" t="str">
        <f t="shared" si="38"/>
        <v> </v>
      </c>
      <c r="L52" s="66" t="str">
        <f t="shared" si="39"/>
        <v> </v>
      </c>
      <c r="M52" s="66" t="str">
        <f t="shared" si="40"/>
        <v> </v>
      </c>
      <c r="N52" s="66" t="str">
        <f t="shared" si="41"/>
        <v> </v>
      </c>
      <c r="O52" s="66" t="str">
        <f t="shared" si="42"/>
        <v> </v>
      </c>
      <c r="P52" s="66" t="str">
        <f t="shared" si="43"/>
        <v> </v>
      </c>
      <c r="Q52" s="66" t="str">
        <f t="shared" si="44"/>
        <v> </v>
      </c>
      <c r="R52" s="132" t="str">
        <f t="shared" si="45"/>
        <v> </v>
      </c>
    </row>
    <row r="53" s="2" customFormat="1" ht="12" customHeight="1" spans="1:18">
      <c r="A53" s="157"/>
      <c r="B53" s="38"/>
      <c r="C53" s="38"/>
      <c r="D53" s="39"/>
      <c r="E53" s="39"/>
      <c r="F53" s="38"/>
      <c r="G53" s="38"/>
      <c r="H53" s="40"/>
      <c r="I53" s="66" t="str">
        <f t="shared" si="36"/>
        <v> </v>
      </c>
      <c r="J53" s="66" t="str">
        <f t="shared" si="37"/>
        <v> </v>
      </c>
      <c r="K53" s="66" t="str">
        <f t="shared" si="38"/>
        <v> </v>
      </c>
      <c r="L53" s="66" t="str">
        <f t="shared" si="39"/>
        <v> </v>
      </c>
      <c r="M53" s="66" t="str">
        <f t="shared" si="40"/>
        <v> </v>
      </c>
      <c r="N53" s="66" t="str">
        <f t="shared" si="41"/>
        <v> </v>
      </c>
      <c r="O53" s="66" t="str">
        <f t="shared" si="42"/>
        <v> </v>
      </c>
      <c r="P53" s="66" t="str">
        <f t="shared" si="43"/>
        <v> </v>
      </c>
      <c r="Q53" s="66" t="str">
        <f t="shared" si="44"/>
        <v> </v>
      </c>
      <c r="R53" s="132" t="str">
        <f t="shared" si="45"/>
        <v> </v>
      </c>
    </row>
    <row r="54" ht="17.25" customHeight="1" spans="1:21">
      <c r="A54" s="112" t="s">
        <v>259</v>
      </c>
      <c r="B54" s="42"/>
      <c r="C54" s="42"/>
      <c r="D54" s="42"/>
      <c r="E54" s="42"/>
      <c r="F54" s="42"/>
      <c r="G54" s="42"/>
      <c r="H54" s="43"/>
      <c r="I54" s="67">
        <v>0.222</v>
      </c>
      <c r="J54" s="69">
        <v>0.395</v>
      </c>
      <c r="K54" s="69">
        <v>0.617</v>
      </c>
      <c r="L54" s="69">
        <v>0.888</v>
      </c>
      <c r="M54" s="69">
        <v>1.208</v>
      </c>
      <c r="N54" s="69">
        <v>1.578</v>
      </c>
      <c r="O54" s="69">
        <v>2.466</v>
      </c>
      <c r="P54" s="69">
        <v>3.854</v>
      </c>
      <c r="Q54" s="69">
        <v>6.314</v>
      </c>
      <c r="R54" s="133">
        <v>9.866</v>
      </c>
      <c r="T54" s="83"/>
      <c r="U54" s="83"/>
    </row>
    <row r="55" ht="15" customHeight="1" spans="1:21">
      <c r="A55" s="113" t="s">
        <v>260</v>
      </c>
      <c r="B55" s="45"/>
      <c r="C55" s="45"/>
      <c r="D55" s="45"/>
      <c r="E55" s="45"/>
      <c r="F55" s="45"/>
      <c r="G55" s="45"/>
      <c r="H55" s="46"/>
      <c r="I55" s="70">
        <f>SUM(I48:I53)</f>
        <v>0</v>
      </c>
      <c r="J55" s="70">
        <f t="shared" ref="J55:R55" si="47">SUM(J48:J53)</f>
        <v>81.054</v>
      </c>
      <c r="K55" s="70">
        <f t="shared" si="47"/>
        <v>0</v>
      </c>
      <c r="L55" s="70">
        <f t="shared" si="47"/>
        <v>0</v>
      </c>
      <c r="M55" s="70">
        <f t="shared" si="47"/>
        <v>113.552</v>
      </c>
      <c r="N55" s="70">
        <f t="shared" si="47"/>
        <v>0</v>
      </c>
      <c r="O55" s="70">
        <f t="shared" si="47"/>
        <v>0</v>
      </c>
      <c r="P55" s="70">
        <f t="shared" si="47"/>
        <v>0</v>
      </c>
      <c r="Q55" s="70">
        <f t="shared" si="47"/>
        <v>0</v>
      </c>
      <c r="R55" s="134">
        <f t="shared" si="47"/>
        <v>0</v>
      </c>
      <c r="T55" s="83"/>
      <c r="U55" s="83"/>
    </row>
    <row r="56" s="3" customFormat="1" ht="16.5" customHeight="1" spans="1:21">
      <c r="A56" s="140" t="s">
        <v>261</v>
      </c>
      <c r="B56" s="141"/>
      <c r="C56" s="141"/>
      <c r="D56" s="141"/>
      <c r="E56" s="141"/>
      <c r="F56" s="141"/>
      <c r="G56" s="141"/>
      <c r="H56" s="142"/>
      <c r="I56" s="181"/>
      <c r="J56" s="182"/>
      <c r="K56" s="182"/>
      <c r="L56" s="182"/>
      <c r="M56" s="182"/>
      <c r="N56" s="182"/>
      <c r="O56" s="182"/>
      <c r="P56" s="181"/>
      <c r="Q56" s="181"/>
      <c r="R56" s="183">
        <f>(SUM(I55:R55))</f>
        <v>194.606</v>
      </c>
      <c r="T56" s="86"/>
      <c r="U56" s="86"/>
    </row>
    <row r="57" ht="15.9" spans="1:18">
      <c r="A57" s="140" t="s">
        <v>268</v>
      </c>
      <c r="B57" s="141"/>
      <c r="C57" s="141"/>
      <c r="D57" s="141"/>
      <c r="E57" s="141"/>
      <c r="F57" s="141"/>
      <c r="G57" s="141"/>
      <c r="H57" s="142"/>
      <c r="I57" s="201">
        <f>+R56+R42+R28+R14</f>
        <v>591.267105</v>
      </c>
      <c r="J57" s="202"/>
      <c r="K57" s="202"/>
      <c r="L57" s="202"/>
      <c r="M57" s="202"/>
      <c r="N57" s="202"/>
      <c r="O57" s="202"/>
      <c r="P57" s="202"/>
      <c r="Q57" s="202"/>
      <c r="R57" s="204"/>
    </row>
    <row r="58" ht="15.15"/>
  </sheetData>
  <mergeCells count="47">
    <mergeCell ref="L2:M2"/>
    <mergeCell ref="I3:R3"/>
    <mergeCell ref="A12:H12"/>
    <mergeCell ref="A13:H13"/>
    <mergeCell ref="A14:H14"/>
    <mergeCell ref="I18:R18"/>
    <mergeCell ref="A26:H26"/>
    <mergeCell ref="A27:H27"/>
    <mergeCell ref="A28:H28"/>
    <mergeCell ref="I32:R32"/>
    <mergeCell ref="A40:H40"/>
    <mergeCell ref="A41:H41"/>
    <mergeCell ref="A42:H42"/>
    <mergeCell ref="I46:R46"/>
    <mergeCell ref="A54:H54"/>
    <mergeCell ref="A55:H55"/>
    <mergeCell ref="A56:H56"/>
    <mergeCell ref="A57:H57"/>
    <mergeCell ref="I57:R57"/>
    <mergeCell ref="A3:A4"/>
    <mergeCell ref="A18:A19"/>
    <mergeCell ref="A32:A33"/>
    <mergeCell ref="A46:A47"/>
    <mergeCell ref="B3:B4"/>
    <mergeCell ref="B18:B19"/>
    <mergeCell ref="B32:B33"/>
    <mergeCell ref="B46:B47"/>
    <mergeCell ref="C3:C4"/>
    <mergeCell ref="C18:C19"/>
    <mergeCell ref="C32:C33"/>
    <mergeCell ref="C46:C47"/>
    <mergeCell ref="F3:F4"/>
    <mergeCell ref="F18:F19"/>
    <mergeCell ref="F32:F33"/>
    <mergeCell ref="F46:F47"/>
    <mergeCell ref="G3:G4"/>
    <mergeCell ref="G18:G19"/>
    <mergeCell ref="G32:G33"/>
    <mergeCell ref="G46:G47"/>
    <mergeCell ref="H3:H4"/>
    <mergeCell ref="H18:H19"/>
    <mergeCell ref="H32:H33"/>
    <mergeCell ref="H46:H47"/>
    <mergeCell ref="D3:E4"/>
    <mergeCell ref="D32:E33"/>
    <mergeCell ref="D18:E19"/>
    <mergeCell ref="D46:E47"/>
  </mergeCells>
  <printOptions horizontalCentered="1" verticalCentered="1"/>
  <pageMargins left="0" right="0" top="0.354330708661417" bottom="0.354330708661417" header="0.31496062992126" footer="0.31496062992126"/>
  <pageSetup paperSize="9" scale="6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94"/>
  <sheetViews>
    <sheetView view="pageBreakPreview" zoomScale="90" zoomScaleNormal="85" workbookViewId="0">
      <selection activeCell="I93" sqref="A1:R93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6" width="11.4259259259259" style="8" customWidth="1"/>
    <col min="17" max="18" width="11.425925925925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9" t="s">
        <v>231</v>
      </c>
      <c r="B1" s="10"/>
      <c r="C1" s="10"/>
      <c r="D1" s="10"/>
      <c r="E1" s="10"/>
      <c r="F1" s="10"/>
      <c r="G1" s="10"/>
      <c r="H1" s="98"/>
      <c r="I1" s="117"/>
      <c r="J1" s="117"/>
      <c r="K1" s="117"/>
      <c r="L1" s="118" t="s">
        <v>269</v>
      </c>
      <c r="M1" s="118"/>
      <c r="N1" s="184"/>
      <c r="O1" s="184" t="s">
        <v>270</v>
      </c>
      <c r="P1" s="120"/>
      <c r="Q1" s="185"/>
      <c r="R1" s="186"/>
    </row>
    <row r="2" ht="12.75" customHeight="1" spans="1:18">
      <c r="A2" s="99"/>
      <c r="B2" s="14"/>
      <c r="C2" s="14"/>
      <c r="D2" s="14"/>
      <c r="E2" s="14"/>
      <c r="F2" s="14"/>
      <c r="G2" s="14"/>
      <c r="H2" s="54"/>
      <c r="I2" s="121"/>
      <c r="J2" s="121"/>
      <c r="K2" s="121"/>
      <c r="L2" s="122" t="s">
        <v>234</v>
      </c>
      <c r="M2" s="122"/>
      <c r="N2" s="88"/>
      <c r="O2" s="88"/>
      <c r="P2" s="124"/>
      <c r="Q2" s="88"/>
      <c r="R2" s="187"/>
    </row>
    <row r="3" s="1" customFormat="1" ht="21" customHeight="1" spans="1:18">
      <c r="A3" s="100" t="s">
        <v>235</v>
      </c>
      <c r="B3" s="101" t="s">
        <v>236</v>
      </c>
      <c r="C3" s="102" t="s">
        <v>237</v>
      </c>
      <c r="D3" s="101" t="s">
        <v>238</v>
      </c>
      <c r="E3" s="101"/>
      <c r="F3" s="101" t="s">
        <v>239</v>
      </c>
      <c r="G3" s="103" t="s">
        <v>240</v>
      </c>
      <c r="H3" s="104" t="s">
        <v>241</v>
      </c>
      <c r="I3" s="125" t="s">
        <v>242</v>
      </c>
      <c r="J3" s="126"/>
      <c r="K3" s="126"/>
      <c r="L3" s="126"/>
      <c r="M3" s="126"/>
      <c r="N3" s="126"/>
      <c r="O3" s="126"/>
      <c r="P3" s="126"/>
      <c r="Q3" s="126"/>
      <c r="R3" s="130"/>
    </row>
    <row r="4" s="1" customFormat="1" ht="15.75" customHeight="1" spans="1:18">
      <c r="A4" s="105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131" t="s">
        <v>252</v>
      </c>
    </row>
    <row r="5" s="2" customFormat="1" ht="14.25" customHeight="1" spans="1:18">
      <c r="A5" s="154" t="s">
        <v>253</v>
      </c>
      <c r="B5" s="27"/>
      <c r="C5" s="27"/>
      <c r="D5" s="27"/>
      <c r="E5" s="27"/>
      <c r="F5" s="27"/>
      <c r="G5" s="27"/>
      <c r="H5" s="2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132" t="str">
        <f>IF(E5=40,(H5*G5*9.866)," ")</f>
        <v> </v>
      </c>
    </row>
    <row r="6" s="2" customFormat="1" ht="12" customHeight="1" spans="1:18">
      <c r="A6" s="155" t="s">
        <v>271</v>
      </c>
      <c r="B6" s="30"/>
      <c r="C6" s="31"/>
      <c r="D6" s="32"/>
      <c r="E6" s="32"/>
      <c r="F6" s="33"/>
      <c r="G6" s="33"/>
      <c r="H6" s="34"/>
      <c r="I6" s="66" t="str">
        <f t="shared" ref="I6:I12" si="0">IF(E6=6,(G6*H6*0.222)," ")</f>
        <v> </v>
      </c>
      <c r="J6" s="66" t="str">
        <f t="shared" ref="J6:J12" si="1">IF(E6=8,(H6*G6*0.395)," ")</f>
        <v> </v>
      </c>
      <c r="K6" s="66" t="str">
        <f t="shared" ref="K6:K12" si="2">IF(E6=10,(G6*H6*0.617)," ")</f>
        <v> </v>
      </c>
      <c r="L6" s="66" t="str">
        <f t="shared" ref="L6:L12" si="3">IF(E6=12,(H6*G6*0.888)," ")</f>
        <v> </v>
      </c>
      <c r="M6" s="66" t="str">
        <f t="shared" ref="M6:M12" si="4">IF(E6=14,(H6*G6*1.208)," ")</f>
        <v> </v>
      </c>
      <c r="N6" s="66" t="str">
        <f t="shared" ref="N6:N12" si="5">IF(E6=16,(H6*G6*1.578)," ")</f>
        <v> </v>
      </c>
      <c r="O6" s="66" t="str">
        <f t="shared" ref="O6:O12" si="6">IF(E6=20,(H6*G6*2.466)," ")</f>
        <v> </v>
      </c>
      <c r="P6" s="66" t="str">
        <f t="shared" ref="P6:P12" si="7">IF(E6=25,(H6*G6*3.854)," ")</f>
        <v> </v>
      </c>
      <c r="Q6" s="66" t="str">
        <f t="shared" ref="Q6:Q12" si="8">IF(E6=32,(H6*G6*6.314)," ")</f>
        <v> </v>
      </c>
      <c r="R6" s="132" t="str">
        <f t="shared" ref="R6:R12" si="9">IF(E6=40,(H6*G6*9.866)," ")</f>
        <v> </v>
      </c>
    </row>
    <row r="7" s="2" customFormat="1" ht="12" customHeight="1" spans="1:18">
      <c r="A7" s="156" t="s">
        <v>272</v>
      </c>
      <c r="B7" s="36">
        <v>1</v>
      </c>
      <c r="C7" s="33">
        <v>10</v>
      </c>
      <c r="D7" s="32" t="s">
        <v>256</v>
      </c>
      <c r="E7" s="32">
        <v>12</v>
      </c>
      <c r="F7" s="33">
        <v>3</v>
      </c>
      <c r="G7" s="33">
        <f t="shared" ref="G7:G10" si="10">F7*C7</f>
        <v>30</v>
      </c>
      <c r="H7" s="34">
        <f>1.3-0.05+0.15*2</f>
        <v>1.55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>
        <f t="shared" si="3"/>
        <v>41.292</v>
      </c>
      <c r="M7" s="66" t="str">
        <f t="shared" si="4"/>
        <v> </v>
      </c>
      <c r="N7" s="66" t="str">
        <f t="shared" si="5"/>
        <v> 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132" t="str">
        <f t="shared" si="9"/>
        <v> </v>
      </c>
    </row>
    <row r="8" s="2" customFormat="1" ht="12" customHeight="1" spans="1:18">
      <c r="A8" s="156" t="s">
        <v>273</v>
      </c>
      <c r="B8" s="33">
        <v>2</v>
      </c>
      <c r="C8" s="33">
        <v>7</v>
      </c>
      <c r="D8" s="32" t="s">
        <v>256</v>
      </c>
      <c r="E8" s="32">
        <v>10</v>
      </c>
      <c r="F8" s="33">
        <v>3</v>
      </c>
      <c r="G8" s="33">
        <f t="shared" si="10"/>
        <v>21</v>
      </c>
      <c r="H8" s="34">
        <f>1.7-0.05+0.15*2</f>
        <v>1.95</v>
      </c>
      <c r="I8" s="66" t="str">
        <f t="shared" si="0"/>
        <v> </v>
      </c>
      <c r="J8" s="66" t="str">
        <f t="shared" si="1"/>
        <v> </v>
      </c>
      <c r="K8" s="66">
        <f t="shared" si="2"/>
        <v>25.26615</v>
      </c>
      <c r="L8" s="66" t="str">
        <f t="shared" si="3"/>
        <v> </v>
      </c>
      <c r="M8" s="66" t="str">
        <f t="shared" si="4"/>
        <v> </v>
      </c>
      <c r="N8" s="66" t="str">
        <f t="shared" si="5"/>
        <v> 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132" t="str">
        <f t="shared" si="9"/>
        <v> </v>
      </c>
    </row>
    <row r="9" s="2" customFormat="1" ht="12" customHeight="1" spans="1:18">
      <c r="A9" s="156" t="s">
        <v>274</v>
      </c>
      <c r="B9" s="36">
        <v>3</v>
      </c>
      <c r="C9" s="33">
        <v>10</v>
      </c>
      <c r="D9" s="32" t="s">
        <v>256</v>
      </c>
      <c r="E9" s="32">
        <v>10</v>
      </c>
      <c r="F9" s="33">
        <v>3</v>
      </c>
      <c r="G9" s="33">
        <f t="shared" si="10"/>
        <v>30</v>
      </c>
      <c r="H9" s="34">
        <f>1.3-0.05+0.15*2</f>
        <v>1.55</v>
      </c>
      <c r="I9" s="66" t="str">
        <f t="shared" si="0"/>
        <v> </v>
      </c>
      <c r="J9" s="66" t="str">
        <f t="shared" si="1"/>
        <v> </v>
      </c>
      <c r="K9" s="66">
        <f t="shared" si="2"/>
        <v>28.6905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132" t="str">
        <f t="shared" si="9"/>
        <v> </v>
      </c>
    </row>
    <row r="10" s="2" customFormat="1" ht="12" customHeight="1" spans="1:18">
      <c r="A10" s="156" t="s">
        <v>275</v>
      </c>
      <c r="B10" s="33">
        <v>4</v>
      </c>
      <c r="C10" s="33">
        <v>7</v>
      </c>
      <c r="D10" s="32" t="s">
        <v>256</v>
      </c>
      <c r="E10" s="32">
        <v>10</v>
      </c>
      <c r="F10" s="33">
        <v>3</v>
      </c>
      <c r="G10" s="33">
        <f t="shared" si="10"/>
        <v>21</v>
      </c>
      <c r="H10" s="34">
        <f>1.7-0.05+0.15*2</f>
        <v>1.95</v>
      </c>
      <c r="I10" s="66" t="str">
        <f t="shared" si="0"/>
        <v> </v>
      </c>
      <c r="J10" s="66" t="str">
        <f t="shared" si="1"/>
        <v> </v>
      </c>
      <c r="K10" s="66">
        <f t="shared" si="2"/>
        <v>25.26615</v>
      </c>
      <c r="L10" s="66" t="str">
        <f t="shared" si="3"/>
        <v> 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132" t="str">
        <f t="shared" si="9"/>
        <v> </v>
      </c>
    </row>
    <row r="11" s="2" customFormat="1" ht="12" customHeight="1" spans="1:18">
      <c r="A11" s="156"/>
      <c r="B11" s="36"/>
      <c r="C11" s="33"/>
      <c r="D11" s="32"/>
      <c r="E11" s="32"/>
      <c r="F11" s="33"/>
      <c r="G11" s="33"/>
      <c r="H11" s="34"/>
      <c r="I11" s="66" t="str">
        <f t="shared" si="0"/>
        <v> 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132" t="str">
        <f t="shared" si="9"/>
        <v> </v>
      </c>
    </row>
    <row r="12" s="2" customFormat="1" ht="12" customHeight="1" spans="1:18">
      <c r="A12" s="157"/>
      <c r="B12" s="38"/>
      <c r="C12" s="38"/>
      <c r="D12" s="39"/>
      <c r="E12" s="39"/>
      <c r="F12" s="38"/>
      <c r="G12" s="38"/>
      <c r="H12" s="40"/>
      <c r="I12" s="66" t="str">
        <f t="shared" si="0"/>
        <v> </v>
      </c>
      <c r="J12" s="66" t="str">
        <f t="shared" si="1"/>
        <v> </v>
      </c>
      <c r="K12" s="66" t="str">
        <f t="shared" si="2"/>
        <v> </v>
      </c>
      <c r="L12" s="66" t="str">
        <f t="shared" si="3"/>
        <v> </v>
      </c>
      <c r="M12" s="66" t="str">
        <f t="shared" si="4"/>
        <v> </v>
      </c>
      <c r="N12" s="66" t="str">
        <f t="shared" si="5"/>
        <v> </v>
      </c>
      <c r="O12" s="66" t="str">
        <f t="shared" si="6"/>
        <v> </v>
      </c>
      <c r="P12" s="66" t="str">
        <f t="shared" si="7"/>
        <v> </v>
      </c>
      <c r="Q12" s="66" t="str">
        <f t="shared" si="8"/>
        <v> </v>
      </c>
      <c r="R12" s="132" t="str">
        <f t="shared" si="9"/>
        <v> </v>
      </c>
    </row>
    <row r="13" ht="17.25" customHeight="1" spans="1:21">
      <c r="A13" s="112" t="s">
        <v>259</v>
      </c>
      <c r="B13" s="42"/>
      <c r="C13" s="42"/>
      <c r="D13" s="42"/>
      <c r="E13" s="42"/>
      <c r="F13" s="42"/>
      <c r="G13" s="42"/>
      <c r="H13" s="43"/>
      <c r="I13" s="67">
        <v>0.222</v>
      </c>
      <c r="J13" s="68">
        <v>0.397</v>
      </c>
      <c r="K13" s="69">
        <v>0.617</v>
      </c>
      <c r="L13" s="69">
        <v>0.888</v>
      </c>
      <c r="M13" s="69">
        <v>1.208</v>
      </c>
      <c r="N13" s="68">
        <v>1.576</v>
      </c>
      <c r="O13" s="68">
        <v>2.47</v>
      </c>
      <c r="P13" s="69">
        <v>3.854</v>
      </c>
      <c r="Q13" s="69">
        <v>6.313</v>
      </c>
      <c r="R13" s="133">
        <v>9.866</v>
      </c>
      <c r="T13" s="83"/>
      <c r="U13" s="83"/>
    </row>
    <row r="14" ht="15" customHeight="1" spans="1:21">
      <c r="A14" s="113" t="s">
        <v>260</v>
      </c>
      <c r="B14" s="45"/>
      <c r="C14" s="45"/>
      <c r="D14" s="45"/>
      <c r="E14" s="45"/>
      <c r="F14" s="45"/>
      <c r="G14" s="45"/>
      <c r="H14" s="46"/>
      <c r="I14" s="70">
        <f>SUM(I5:I12)</f>
        <v>0</v>
      </c>
      <c r="J14" s="70">
        <f t="shared" ref="J14:R14" si="11">SUM(J5:J12)</f>
        <v>0</v>
      </c>
      <c r="K14" s="70">
        <f t="shared" si="11"/>
        <v>79.2228</v>
      </c>
      <c r="L14" s="70">
        <f t="shared" si="11"/>
        <v>41.292</v>
      </c>
      <c r="M14" s="70">
        <f t="shared" si="11"/>
        <v>0</v>
      </c>
      <c r="N14" s="70">
        <f t="shared" si="11"/>
        <v>0</v>
      </c>
      <c r="O14" s="70">
        <f t="shared" si="11"/>
        <v>0</v>
      </c>
      <c r="P14" s="70">
        <f t="shared" si="11"/>
        <v>0</v>
      </c>
      <c r="Q14" s="70">
        <f t="shared" si="11"/>
        <v>0</v>
      </c>
      <c r="R14" s="134">
        <f t="shared" si="11"/>
        <v>0</v>
      </c>
      <c r="T14" s="83"/>
      <c r="U14" s="83"/>
    </row>
    <row r="15" s="3" customFormat="1" ht="16.5" customHeight="1" spans="1:21">
      <c r="A15" s="114" t="s">
        <v>261</v>
      </c>
      <c r="B15" s="48"/>
      <c r="C15" s="48"/>
      <c r="D15" s="48"/>
      <c r="E15" s="48"/>
      <c r="F15" s="48"/>
      <c r="G15" s="48"/>
      <c r="H15" s="49"/>
      <c r="I15" s="71"/>
      <c r="J15" s="72"/>
      <c r="K15" s="72"/>
      <c r="L15" s="72"/>
      <c r="M15" s="72"/>
      <c r="N15" s="72"/>
      <c r="O15" s="72"/>
      <c r="P15" s="71"/>
      <c r="Q15" s="71"/>
      <c r="R15" s="135">
        <f>(SUM(I14:R14))</f>
        <v>120.5148</v>
      </c>
      <c r="T15" s="86"/>
      <c r="U15" s="86"/>
    </row>
    <row r="16" hidden="1" spans="1:20">
      <c r="A16" s="158"/>
      <c r="B16" s="51"/>
      <c r="C16" s="52"/>
      <c r="D16" s="53"/>
      <c r="E16" s="53"/>
      <c r="F16" s="53"/>
      <c r="G16" s="52"/>
      <c r="H16" s="54"/>
      <c r="I16" s="75"/>
      <c r="J16" s="75"/>
      <c r="K16" s="75"/>
      <c r="L16" s="75"/>
      <c r="M16" s="75"/>
      <c r="N16" s="75"/>
      <c r="O16" s="75"/>
      <c r="P16" s="75"/>
      <c r="Q16" s="88" t="s">
        <v>262</v>
      </c>
      <c r="R16" s="169">
        <f>SUM(0.66*3)</f>
        <v>1.98</v>
      </c>
      <c r="T16" s="176">
        <f>R15+R31+R47+R63+R77+R92</f>
        <v>955.90146</v>
      </c>
    </row>
    <row r="17" hidden="1" spans="1:18">
      <c r="A17" s="158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>
        <f>1.7*1.3*0.3</f>
        <v>0.663</v>
      </c>
      <c r="P17" s="75"/>
      <c r="Q17" s="88" t="s">
        <v>263</v>
      </c>
      <c r="R17" s="170">
        <f>R15/R16</f>
        <v>60.8660606060606</v>
      </c>
    </row>
    <row r="18" ht="15.15" spans="1:18">
      <c r="A18" s="158"/>
      <c r="B18" s="51"/>
      <c r="C18" s="52"/>
      <c r="D18" s="53"/>
      <c r="E18" s="53"/>
      <c r="F18" s="53"/>
      <c r="G18" s="52"/>
      <c r="H18" s="54"/>
      <c r="I18" s="75"/>
      <c r="J18" s="75"/>
      <c r="K18" s="75"/>
      <c r="L18" s="75"/>
      <c r="M18" s="75"/>
      <c r="N18" s="75"/>
      <c r="O18" s="75"/>
      <c r="P18" s="75"/>
      <c r="Q18" s="88"/>
      <c r="R18" s="171"/>
    </row>
    <row r="19" s="1" customFormat="1" ht="21" customHeight="1" spans="1:18">
      <c r="A19" s="116" t="s">
        <v>235</v>
      </c>
      <c r="B19" s="17" t="s">
        <v>236</v>
      </c>
      <c r="C19" s="18" t="s">
        <v>237</v>
      </c>
      <c r="D19" s="17" t="s">
        <v>238</v>
      </c>
      <c r="E19" s="17"/>
      <c r="F19" s="17" t="s">
        <v>239</v>
      </c>
      <c r="G19" s="19" t="s">
        <v>240</v>
      </c>
      <c r="H19" s="20" t="s">
        <v>241</v>
      </c>
      <c r="I19" s="63" t="s">
        <v>242</v>
      </c>
      <c r="J19" s="64"/>
      <c r="K19" s="64"/>
      <c r="L19" s="64"/>
      <c r="M19" s="64"/>
      <c r="N19" s="64"/>
      <c r="O19" s="64"/>
      <c r="P19" s="64"/>
      <c r="Q19" s="64"/>
      <c r="R19" s="139"/>
    </row>
    <row r="20" s="1" customFormat="1" ht="15.75" customHeight="1" spans="1:18">
      <c r="A20" s="105"/>
      <c r="B20" s="22"/>
      <c r="C20" s="23"/>
      <c r="D20" s="22"/>
      <c r="E20" s="22"/>
      <c r="F20" s="22"/>
      <c r="G20" s="24"/>
      <c r="H20" s="25"/>
      <c r="I20" s="65" t="s">
        <v>243</v>
      </c>
      <c r="J20" s="65" t="s">
        <v>244</v>
      </c>
      <c r="K20" s="65" t="s">
        <v>245</v>
      </c>
      <c r="L20" s="65" t="s">
        <v>246</v>
      </c>
      <c r="M20" s="65" t="s">
        <v>247</v>
      </c>
      <c r="N20" s="65" t="s">
        <v>248</v>
      </c>
      <c r="O20" s="65" t="s">
        <v>249</v>
      </c>
      <c r="P20" s="65" t="s">
        <v>250</v>
      </c>
      <c r="Q20" s="65" t="s">
        <v>251</v>
      </c>
      <c r="R20" s="131" t="s">
        <v>252</v>
      </c>
    </row>
    <row r="21" s="2" customFormat="1" ht="14.25" customHeight="1" spans="1:18">
      <c r="A21" s="154" t="s">
        <v>253</v>
      </c>
      <c r="B21" s="27"/>
      <c r="C21" s="27"/>
      <c r="D21" s="27"/>
      <c r="E21" s="27"/>
      <c r="F21" s="27"/>
      <c r="G21" s="27"/>
      <c r="H21" s="28"/>
      <c r="I21" s="66" t="str">
        <f>IF(E21=6,(G21*H21*0.222)," ")</f>
        <v> </v>
      </c>
      <c r="J21" s="66" t="str">
        <f>IF(E21=8,(H21*G21*0.395)," ")</f>
        <v> </v>
      </c>
      <c r="K21" s="66" t="str">
        <f>IF(E21=10,(G21*H21*0.617)," ")</f>
        <v> </v>
      </c>
      <c r="L21" s="66" t="str">
        <f>IF(E21=12,(H21*G21*0.888)," ")</f>
        <v> </v>
      </c>
      <c r="M21" s="66" t="str">
        <f>IF(E21=14,(H21*G21*1.208)," ")</f>
        <v> </v>
      </c>
      <c r="N21" s="66" t="str">
        <f>IF(E21=16,(H21*G21*1.578)," ")</f>
        <v> </v>
      </c>
      <c r="O21" s="66" t="str">
        <f>IF(E21=20,(H21*G21*2.466)," ")</f>
        <v> </v>
      </c>
      <c r="P21" s="66" t="str">
        <f>IF(E21=25,(H21*G21*3.854)," ")</f>
        <v> </v>
      </c>
      <c r="Q21" s="66" t="str">
        <f>IF(E21=32,(H21*G21*6.314)," ")</f>
        <v> </v>
      </c>
      <c r="R21" s="132" t="str">
        <f>IF(E21=40,(H21*G21*9.866)," ")</f>
        <v> </v>
      </c>
    </row>
    <row r="22" s="2" customFormat="1" ht="12" customHeight="1" spans="1:18">
      <c r="A22" s="155" t="s">
        <v>276</v>
      </c>
      <c r="B22" s="30"/>
      <c r="C22" s="31"/>
      <c r="D22" s="32"/>
      <c r="E22" s="32"/>
      <c r="F22" s="33"/>
      <c r="G22" s="33"/>
      <c r="H22" s="34"/>
      <c r="I22" s="66" t="str">
        <f t="shared" ref="I22:I28" si="12">IF(E22=6,(G22*H22*0.222)," ")</f>
        <v> </v>
      </c>
      <c r="J22" s="66" t="str">
        <f t="shared" ref="J22:J28" si="13">IF(E22=8,(H22*G22*0.395)," ")</f>
        <v> </v>
      </c>
      <c r="K22" s="66" t="str">
        <f t="shared" ref="K22:K28" si="14">IF(E22=10,(G22*H22*0.617)," ")</f>
        <v> </v>
      </c>
      <c r="L22" s="66" t="str">
        <f t="shared" ref="L22:L28" si="15">IF(E22=12,(H22*G22*0.888)," ")</f>
        <v> </v>
      </c>
      <c r="M22" s="66" t="str">
        <f t="shared" ref="M22:M28" si="16">IF(E22=14,(H22*G22*1.208)," ")</f>
        <v> </v>
      </c>
      <c r="N22" s="66" t="str">
        <f t="shared" ref="N22:N28" si="17">IF(E22=16,(H22*G22*1.578)," ")</f>
        <v> </v>
      </c>
      <c r="O22" s="66" t="str">
        <f t="shared" ref="O22:O28" si="18">IF(E22=20,(H22*G22*2.466)," ")</f>
        <v> </v>
      </c>
      <c r="P22" s="66" t="str">
        <f t="shared" ref="P22:P28" si="19">IF(E22=25,(H22*G22*3.854)," ")</f>
        <v> </v>
      </c>
      <c r="Q22" s="66" t="str">
        <f t="shared" ref="Q22:Q28" si="20">IF(E22=32,(H22*G22*6.314)," ")</f>
        <v> </v>
      </c>
      <c r="R22" s="132" t="str">
        <f t="shared" ref="R22:R28" si="21">IF(E22=40,(H22*G22*9.866)," ")</f>
        <v> </v>
      </c>
    </row>
    <row r="23" s="2" customFormat="1" ht="12" customHeight="1" spans="1:18">
      <c r="A23" s="156" t="s">
        <v>272</v>
      </c>
      <c r="B23" s="36">
        <v>1</v>
      </c>
      <c r="C23" s="33">
        <v>8</v>
      </c>
      <c r="D23" s="32" t="s">
        <v>256</v>
      </c>
      <c r="E23" s="32">
        <v>12</v>
      </c>
      <c r="F23" s="33">
        <v>2</v>
      </c>
      <c r="G23" s="33">
        <f t="shared" ref="G23:G26" si="22">F23*C23</f>
        <v>16</v>
      </c>
      <c r="H23" s="34">
        <f>1.5-0.05+0.15*2</f>
        <v>1.75</v>
      </c>
      <c r="I23" s="66" t="str">
        <f t="shared" si="12"/>
        <v> </v>
      </c>
      <c r="J23" s="66" t="str">
        <f t="shared" si="13"/>
        <v> </v>
      </c>
      <c r="K23" s="66" t="str">
        <f t="shared" si="14"/>
        <v> </v>
      </c>
      <c r="L23" s="66">
        <f t="shared" si="15"/>
        <v>24.864</v>
      </c>
      <c r="M23" s="66" t="str">
        <f t="shared" si="16"/>
        <v> </v>
      </c>
      <c r="N23" s="66" t="str">
        <f t="shared" si="17"/>
        <v> 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132" t="str">
        <f t="shared" si="21"/>
        <v> </v>
      </c>
    </row>
    <row r="24" s="2" customFormat="1" ht="12" customHeight="1" spans="1:18">
      <c r="A24" s="156" t="s">
        <v>273</v>
      </c>
      <c r="B24" s="33">
        <v>2</v>
      </c>
      <c r="C24" s="33">
        <v>8</v>
      </c>
      <c r="D24" s="32" t="s">
        <v>256</v>
      </c>
      <c r="E24" s="32">
        <v>12</v>
      </c>
      <c r="F24" s="33">
        <v>2</v>
      </c>
      <c r="G24" s="33">
        <f t="shared" si="22"/>
        <v>16</v>
      </c>
      <c r="H24" s="34">
        <f t="shared" ref="H24:H26" si="23">1.5-0.05+0.15*2</f>
        <v>1.75</v>
      </c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>
        <f t="shared" si="15"/>
        <v>24.864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132" t="str">
        <f t="shared" si="21"/>
        <v> </v>
      </c>
    </row>
    <row r="25" s="2" customFormat="1" ht="12" customHeight="1" spans="1:18">
      <c r="A25" s="156" t="s">
        <v>274</v>
      </c>
      <c r="B25" s="36">
        <v>3</v>
      </c>
      <c r="C25" s="33">
        <v>8</v>
      </c>
      <c r="D25" s="32" t="s">
        <v>256</v>
      </c>
      <c r="E25" s="32">
        <v>10</v>
      </c>
      <c r="F25" s="33">
        <v>2</v>
      </c>
      <c r="G25" s="33">
        <f t="shared" si="22"/>
        <v>16</v>
      </c>
      <c r="H25" s="34">
        <f t="shared" si="23"/>
        <v>1.75</v>
      </c>
      <c r="I25" s="66" t="str">
        <f t="shared" si="12"/>
        <v> </v>
      </c>
      <c r="J25" s="66" t="str">
        <f t="shared" si="13"/>
        <v> </v>
      </c>
      <c r="K25" s="66">
        <f t="shared" si="14"/>
        <v>17.276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132" t="str">
        <f t="shared" si="21"/>
        <v> </v>
      </c>
    </row>
    <row r="26" s="2" customFormat="1" ht="12" customHeight="1" spans="1:18">
      <c r="A26" s="156" t="s">
        <v>275</v>
      </c>
      <c r="B26" s="33">
        <v>4</v>
      </c>
      <c r="C26" s="33">
        <v>8</v>
      </c>
      <c r="D26" s="32" t="s">
        <v>256</v>
      </c>
      <c r="E26" s="32">
        <v>10</v>
      </c>
      <c r="F26" s="33">
        <v>2</v>
      </c>
      <c r="G26" s="33">
        <f t="shared" si="22"/>
        <v>16</v>
      </c>
      <c r="H26" s="34">
        <f t="shared" si="23"/>
        <v>1.75</v>
      </c>
      <c r="I26" s="66" t="str">
        <f t="shared" si="12"/>
        <v> </v>
      </c>
      <c r="J26" s="66" t="str">
        <f t="shared" si="13"/>
        <v> </v>
      </c>
      <c r="K26" s="66">
        <f t="shared" si="14"/>
        <v>17.276</v>
      </c>
      <c r="L26" s="66" t="str">
        <f t="shared" si="15"/>
        <v> </v>
      </c>
      <c r="M26" s="66" t="str">
        <f t="shared" si="16"/>
        <v> </v>
      </c>
      <c r="N26" s="66" t="str">
        <f t="shared" si="17"/>
        <v> </v>
      </c>
      <c r="O26" s="66" t="str">
        <f t="shared" si="18"/>
        <v> </v>
      </c>
      <c r="P26" s="66" t="str">
        <f t="shared" si="19"/>
        <v> </v>
      </c>
      <c r="Q26" s="66" t="str">
        <f t="shared" si="20"/>
        <v> </v>
      </c>
      <c r="R26" s="132" t="str">
        <f t="shared" si="21"/>
        <v> </v>
      </c>
    </row>
    <row r="27" s="2" customFormat="1" ht="12" customHeight="1" spans="1:18">
      <c r="A27" s="156"/>
      <c r="B27" s="36"/>
      <c r="C27" s="33"/>
      <c r="D27" s="32"/>
      <c r="E27" s="32"/>
      <c r="F27" s="33"/>
      <c r="G27" s="33"/>
      <c r="H27" s="34"/>
      <c r="I27" s="66" t="str">
        <f t="shared" si="12"/>
        <v> </v>
      </c>
      <c r="J27" s="66" t="str">
        <f t="shared" si="13"/>
        <v> </v>
      </c>
      <c r="K27" s="66" t="str">
        <f t="shared" si="14"/>
        <v> </v>
      </c>
      <c r="L27" s="66" t="str">
        <f t="shared" si="15"/>
        <v> </v>
      </c>
      <c r="M27" s="66" t="str">
        <f t="shared" si="16"/>
        <v> </v>
      </c>
      <c r="N27" s="66" t="str">
        <f t="shared" si="17"/>
        <v> </v>
      </c>
      <c r="O27" s="66" t="str">
        <f t="shared" si="18"/>
        <v> </v>
      </c>
      <c r="P27" s="66" t="str">
        <f t="shared" si="19"/>
        <v> </v>
      </c>
      <c r="Q27" s="66" t="str">
        <f t="shared" si="20"/>
        <v> </v>
      </c>
      <c r="R27" s="132" t="str">
        <f t="shared" si="21"/>
        <v> </v>
      </c>
    </row>
    <row r="28" s="2" customFormat="1" ht="12" customHeight="1" spans="1:18">
      <c r="A28" s="157"/>
      <c r="B28" s="38"/>
      <c r="C28" s="38"/>
      <c r="D28" s="39"/>
      <c r="E28" s="39"/>
      <c r="F28" s="38"/>
      <c r="G28" s="38"/>
      <c r="H28" s="40"/>
      <c r="I28" s="66" t="str">
        <f t="shared" si="12"/>
        <v> </v>
      </c>
      <c r="J28" s="66" t="str">
        <f t="shared" si="13"/>
        <v> </v>
      </c>
      <c r="K28" s="66" t="str">
        <f t="shared" si="14"/>
        <v> </v>
      </c>
      <c r="L28" s="66" t="str">
        <f t="shared" si="15"/>
        <v> </v>
      </c>
      <c r="M28" s="66" t="str">
        <f t="shared" si="16"/>
        <v> </v>
      </c>
      <c r="N28" s="66" t="str">
        <f t="shared" si="17"/>
        <v> </v>
      </c>
      <c r="O28" s="66" t="str">
        <f t="shared" si="18"/>
        <v> </v>
      </c>
      <c r="P28" s="66" t="str">
        <f t="shared" si="19"/>
        <v> </v>
      </c>
      <c r="Q28" s="66" t="str">
        <f t="shared" si="20"/>
        <v> </v>
      </c>
      <c r="R28" s="132" t="str">
        <f t="shared" si="21"/>
        <v> </v>
      </c>
    </row>
    <row r="29" ht="17.25" customHeight="1" spans="1:21">
      <c r="A29" s="112" t="s">
        <v>259</v>
      </c>
      <c r="B29" s="42"/>
      <c r="C29" s="42"/>
      <c r="D29" s="42"/>
      <c r="E29" s="42"/>
      <c r="F29" s="42"/>
      <c r="G29" s="42"/>
      <c r="H29" s="43"/>
      <c r="I29" s="67">
        <v>0.222</v>
      </c>
      <c r="J29" s="68">
        <v>0.397</v>
      </c>
      <c r="K29" s="69">
        <v>0.617</v>
      </c>
      <c r="L29" s="69">
        <v>0.888</v>
      </c>
      <c r="M29" s="69">
        <v>1.208</v>
      </c>
      <c r="N29" s="68">
        <v>1.576</v>
      </c>
      <c r="O29" s="68">
        <v>2.47</v>
      </c>
      <c r="P29" s="69">
        <v>3.854</v>
      </c>
      <c r="Q29" s="69">
        <v>6.313</v>
      </c>
      <c r="R29" s="133">
        <v>9.866</v>
      </c>
      <c r="T29" s="83"/>
      <c r="U29" s="83"/>
    </row>
    <row r="30" ht="15" customHeight="1" spans="1:21">
      <c r="A30" s="113" t="s">
        <v>260</v>
      </c>
      <c r="B30" s="45"/>
      <c r="C30" s="45"/>
      <c r="D30" s="45"/>
      <c r="E30" s="45"/>
      <c r="F30" s="45"/>
      <c r="G30" s="45"/>
      <c r="H30" s="46"/>
      <c r="I30" s="70">
        <f>SUM(I21:I28)</f>
        <v>0</v>
      </c>
      <c r="J30" s="70">
        <f t="shared" ref="J30:R30" si="24">SUM(J21:J28)</f>
        <v>0</v>
      </c>
      <c r="K30" s="70">
        <f t="shared" si="24"/>
        <v>34.552</v>
      </c>
      <c r="L30" s="70">
        <f t="shared" si="24"/>
        <v>49.728</v>
      </c>
      <c r="M30" s="70">
        <f t="shared" si="24"/>
        <v>0</v>
      </c>
      <c r="N30" s="70">
        <f t="shared" si="24"/>
        <v>0</v>
      </c>
      <c r="O30" s="70">
        <f t="shared" si="24"/>
        <v>0</v>
      </c>
      <c r="P30" s="70">
        <f t="shared" si="24"/>
        <v>0</v>
      </c>
      <c r="Q30" s="70">
        <f t="shared" si="24"/>
        <v>0</v>
      </c>
      <c r="R30" s="134">
        <f t="shared" si="24"/>
        <v>0</v>
      </c>
      <c r="T30" s="83"/>
      <c r="U30" s="83"/>
    </row>
    <row r="31" s="3" customFormat="1" ht="16.5" customHeight="1" spans="1:21">
      <c r="A31" s="114" t="s">
        <v>261</v>
      </c>
      <c r="B31" s="48"/>
      <c r="C31" s="48"/>
      <c r="D31" s="48"/>
      <c r="E31" s="48"/>
      <c r="F31" s="48"/>
      <c r="G31" s="48"/>
      <c r="H31" s="49"/>
      <c r="I31" s="71"/>
      <c r="J31" s="72"/>
      <c r="K31" s="72"/>
      <c r="L31" s="72"/>
      <c r="M31" s="72"/>
      <c r="N31" s="72"/>
      <c r="O31" s="72"/>
      <c r="P31" s="71"/>
      <c r="Q31" s="71"/>
      <c r="R31" s="135">
        <f>(SUM(I30:R30))</f>
        <v>84.28</v>
      </c>
      <c r="T31" s="86"/>
      <c r="U31" s="86"/>
    </row>
    <row r="32" hidden="1" spans="1:18">
      <c r="A32" s="158"/>
      <c r="B32" s="51"/>
      <c r="C32" s="52"/>
      <c r="D32" s="53"/>
      <c r="E32" s="53"/>
      <c r="F32" s="53"/>
      <c r="G32" s="52"/>
      <c r="H32" s="54"/>
      <c r="I32" s="75"/>
      <c r="J32" s="75"/>
      <c r="K32" s="75"/>
      <c r="L32" s="75"/>
      <c r="M32" s="75"/>
      <c r="N32" s="75"/>
      <c r="O32" s="75"/>
      <c r="P32" s="75"/>
      <c r="Q32" s="88" t="s">
        <v>262</v>
      </c>
      <c r="R32" s="169">
        <f>0.9*2</f>
        <v>1.8</v>
      </c>
    </row>
    <row r="33" hidden="1" spans="1:18">
      <c r="A33" s="158"/>
      <c r="B33" s="51"/>
      <c r="C33" s="52"/>
      <c r="D33" s="53"/>
      <c r="E33" s="53"/>
      <c r="F33" s="53"/>
      <c r="G33" s="52"/>
      <c r="H33" s="54"/>
      <c r="I33" s="75"/>
      <c r="J33" s="75"/>
      <c r="K33" s="75"/>
      <c r="L33" s="75"/>
      <c r="M33" s="75"/>
      <c r="N33" s="75"/>
      <c r="O33" s="75"/>
      <c r="P33" s="75"/>
      <c r="Q33" s="88" t="s">
        <v>263</v>
      </c>
      <c r="R33" s="170">
        <f>R31/R32</f>
        <v>46.8222222222222</v>
      </c>
    </row>
    <row r="34" ht="15.15" spans="1:18">
      <c r="A34" s="158"/>
      <c r="B34" s="51"/>
      <c r="C34" s="52"/>
      <c r="D34" s="53"/>
      <c r="E34" s="53"/>
      <c r="F34" s="53"/>
      <c r="G34" s="52"/>
      <c r="H34" s="54"/>
      <c r="I34" s="75"/>
      <c r="J34" s="75"/>
      <c r="K34" s="75"/>
      <c r="L34" s="75"/>
      <c r="M34" s="75"/>
      <c r="N34" s="75"/>
      <c r="O34" s="75"/>
      <c r="P34" s="75"/>
      <c r="Q34" s="88"/>
      <c r="R34" s="171"/>
    </row>
    <row r="35" s="1" customFormat="1" ht="21" customHeight="1" spans="1:18">
      <c r="A35" s="116" t="s">
        <v>235</v>
      </c>
      <c r="B35" s="17" t="s">
        <v>236</v>
      </c>
      <c r="C35" s="18" t="s">
        <v>237</v>
      </c>
      <c r="D35" s="17" t="s">
        <v>238</v>
      </c>
      <c r="E35" s="17"/>
      <c r="F35" s="17" t="s">
        <v>239</v>
      </c>
      <c r="G35" s="19" t="s">
        <v>240</v>
      </c>
      <c r="H35" s="20" t="s">
        <v>241</v>
      </c>
      <c r="I35" s="63" t="s">
        <v>242</v>
      </c>
      <c r="J35" s="64"/>
      <c r="K35" s="64"/>
      <c r="L35" s="64"/>
      <c r="M35" s="64"/>
      <c r="N35" s="64"/>
      <c r="O35" s="64"/>
      <c r="P35" s="64"/>
      <c r="Q35" s="64"/>
      <c r="R35" s="139"/>
    </row>
    <row r="36" s="1" customFormat="1" ht="15.75" customHeight="1" spans="1:18">
      <c r="A36" s="105"/>
      <c r="B36" s="22"/>
      <c r="C36" s="23"/>
      <c r="D36" s="22"/>
      <c r="E36" s="22"/>
      <c r="F36" s="22"/>
      <c r="G36" s="24"/>
      <c r="H36" s="25"/>
      <c r="I36" s="65" t="s">
        <v>243</v>
      </c>
      <c r="J36" s="65" t="s">
        <v>244</v>
      </c>
      <c r="K36" s="65" t="s">
        <v>245</v>
      </c>
      <c r="L36" s="65" t="s">
        <v>246</v>
      </c>
      <c r="M36" s="65" t="s">
        <v>247</v>
      </c>
      <c r="N36" s="65" t="s">
        <v>248</v>
      </c>
      <c r="O36" s="65" t="s">
        <v>249</v>
      </c>
      <c r="P36" s="65" t="s">
        <v>250</v>
      </c>
      <c r="Q36" s="65" t="s">
        <v>251</v>
      </c>
      <c r="R36" s="131" t="s">
        <v>252</v>
      </c>
    </row>
    <row r="37" s="2" customFormat="1" ht="14.25" customHeight="1" spans="1:18">
      <c r="A37" s="154" t="s">
        <v>253</v>
      </c>
      <c r="B37" s="27"/>
      <c r="C37" s="27"/>
      <c r="D37" s="27"/>
      <c r="E37" s="27"/>
      <c r="F37" s="27"/>
      <c r="G37" s="27"/>
      <c r="H37" s="28"/>
      <c r="I37" s="66" t="str">
        <f>IF(E37=6,(G37*H37*0.222)," ")</f>
        <v> </v>
      </c>
      <c r="J37" s="66" t="str">
        <f>IF(E37=8,(H37*G37*0.395)," ")</f>
        <v> </v>
      </c>
      <c r="K37" s="66" t="str">
        <f>IF(E37=10,(G37*H37*0.617)," ")</f>
        <v> </v>
      </c>
      <c r="L37" s="66" t="str">
        <f>IF(E37=12,(H37*G37*0.888)," ")</f>
        <v> </v>
      </c>
      <c r="M37" s="66" t="str">
        <f>IF(E37=14,(H37*G37*1.208)," ")</f>
        <v> </v>
      </c>
      <c r="N37" s="66" t="str">
        <f>IF(E37=16,(H37*G37*1.578)," ")</f>
        <v> </v>
      </c>
      <c r="O37" s="66" t="str">
        <f>IF(E37=20,(H37*G37*2.466)," ")</f>
        <v> </v>
      </c>
      <c r="P37" s="66" t="str">
        <f>IF(E37=25,(H37*G37*3.854)," ")</f>
        <v> </v>
      </c>
      <c r="Q37" s="66" t="str">
        <f>IF(E37=32,(H37*G37*6.314)," ")</f>
        <v> </v>
      </c>
      <c r="R37" s="132" t="str">
        <f>IF(E37=40,(H37*G37*9.866)," ")</f>
        <v> </v>
      </c>
    </row>
    <row r="38" s="2" customFormat="1" ht="12" customHeight="1" spans="1:18">
      <c r="A38" s="155" t="s">
        <v>277</v>
      </c>
      <c r="B38" s="30"/>
      <c r="C38" s="31"/>
      <c r="D38" s="32"/>
      <c r="E38" s="32"/>
      <c r="F38" s="33"/>
      <c r="G38" s="33"/>
      <c r="H38" s="34"/>
      <c r="I38" s="66" t="str">
        <f t="shared" ref="I38:I44" si="25">IF(E38=6,(G38*H38*0.222)," ")</f>
        <v> </v>
      </c>
      <c r="J38" s="66" t="str">
        <f t="shared" ref="J38:J44" si="26">IF(E38=8,(H38*G38*0.395)," ")</f>
        <v> </v>
      </c>
      <c r="K38" s="66" t="str">
        <f t="shared" ref="K38:K44" si="27">IF(E38=10,(G38*H38*0.617)," ")</f>
        <v> </v>
      </c>
      <c r="L38" s="66" t="str">
        <f t="shared" ref="L38:L44" si="28">IF(E38=12,(H38*G38*0.888)," ")</f>
        <v> </v>
      </c>
      <c r="M38" s="66" t="str">
        <f t="shared" ref="M38:M44" si="29">IF(E38=14,(H38*G38*1.208)," ")</f>
        <v> </v>
      </c>
      <c r="N38" s="66" t="str">
        <f t="shared" ref="N38:N44" si="30">IF(E38=16,(H38*G38*1.578)," ")</f>
        <v> </v>
      </c>
      <c r="O38" s="66" t="str">
        <f t="shared" ref="O38:O44" si="31">IF(E38=20,(H38*G38*2.466)," ")</f>
        <v> </v>
      </c>
      <c r="P38" s="66" t="str">
        <f t="shared" ref="P38:P44" si="32">IF(E38=25,(H38*G38*3.854)," ")</f>
        <v> </v>
      </c>
      <c r="Q38" s="66" t="str">
        <f t="shared" ref="Q38:Q44" si="33">IF(E38=32,(H38*G38*6.314)," ")</f>
        <v> </v>
      </c>
      <c r="R38" s="132" t="str">
        <f t="shared" ref="R38:R44" si="34">IF(E38=40,(H38*G38*9.866)," ")</f>
        <v> </v>
      </c>
    </row>
    <row r="39" s="2" customFormat="1" ht="12" customHeight="1" spans="1:18">
      <c r="A39" s="156" t="s">
        <v>272</v>
      </c>
      <c r="B39" s="36">
        <v>1</v>
      </c>
      <c r="C39" s="33">
        <v>14</v>
      </c>
      <c r="D39" s="32" t="s">
        <v>256</v>
      </c>
      <c r="E39" s="32">
        <v>12</v>
      </c>
      <c r="F39" s="33">
        <v>3</v>
      </c>
      <c r="G39" s="33">
        <f t="shared" ref="G39:G42" si="35">F39*C39</f>
        <v>42</v>
      </c>
      <c r="H39" s="34">
        <f>1.5-0.05+0.15*2</f>
        <v>1.75</v>
      </c>
      <c r="I39" s="66" t="str">
        <f t="shared" si="25"/>
        <v> </v>
      </c>
      <c r="J39" s="66" t="str">
        <f t="shared" si="26"/>
        <v> </v>
      </c>
      <c r="K39" s="66" t="str">
        <f t="shared" si="27"/>
        <v> </v>
      </c>
      <c r="L39" s="66">
        <f t="shared" si="28"/>
        <v>65.268</v>
      </c>
      <c r="M39" s="66" t="str">
        <f t="shared" si="29"/>
        <v> </v>
      </c>
      <c r="N39" s="66" t="str">
        <f t="shared" si="30"/>
        <v> </v>
      </c>
      <c r="O39" s="66" t="str">
        <f t="shared" si="31"/>
        <v> </v>
      </c>
      <c r="P39" s="66" t="str">
        <f t="shared" si="32"/>
        <v> </v>
      </c>
      <c r="Q39" s="66" t="str">
        <f t="shared" si="33"/>
        <v> </v>
      </c>
      <c r="R39" s="132" t="str">
        <f t="shared" si="34"/>
        <v> </v>
      </c>
    </row>
    <row r="40" s="2" customFormat="1" ht="12" customHeight="1" spans="1:18">
      <c r="A40" s="156" t="s">
        <v>273</v>
      </c>
      <c r="B40" s="33">
        <v>2</v>
      </c>
      <c r="C40" s="33">
        <v>8</v>
      </c>
      <c r="D40" s="32" t="s">
        <v>256</v>
      </c>
      <c r="E40" s="32">
        <v>10</v>
      </c>
      <c r="F40" s="33">
        <v>3</v>
      </c>
      <c r="G40" s="33">
        <f t="shared" si="35"/>
        <v>24</v>
      </c>
      <c r="H40" s="34">
        <f>2.2-0.05+0.15*2</f>
        <v>2.45</v>
      </c>
      <c r="I40" s="66" t="str">
        <f t="shared" si="25"/>
        <v> </v>
      </c>
      <c r="J40" s="66" t="str">
        <f t="shared" si="26"/>
        <v> </v>
      </c>
      <c r="K40" s="66">
        <f t="shared" si="27"/>
        <v>36.2796</v>
      </c>
      <c r="L40" s="66" t="str">
        <f t="shared" si="28"/>
        <v> </v>
      </c>
      <c r="M40" s="66" t="str">
        <f t="shared" si="29"/>
        <v> </v>
      </c>
      <c r="N40" s="66" t="str">
        <f t="shared" si="30"/>
        <v> </v>
      </c>
      <c r="O40" s="66" t="str">
        <f t="shared" si="31"/>
        <v> </v>
      </c>
      <c r="P40" s="66" t="str">
        <f t="shared" si="32"/>
        <v> </v>
      </c>
      <c r="Q40" s="66" t="str">
        <f t="shared" si="33"/>
        <v> </v>
      </c>
      <c r="R40" s="132" t="str">
        <f t="shared" si="34"/>
        <v> </v>
      </c>
    </row>
    <row r="41" s="2" customFormat="1" ht="12" customHeight="1" spans="1:18">
      <c r="A41" s="156" t="s">
        <v>274</v>
      </c>
      <c r="B41" s="36">
        <v>3</v>
      </c>
      <c r="C41" s="33">
        <v>14</v>
      </c>
      <c r="D41" s="32" t="s">
        <v>256</v>
      </c>
      <c r="E41" s="32">
        <v>10</v>
      </c>
      <c r="F41" s="33">
        <v>3</v>
      </c>
      <c r="G41" s="33">
        <f t="shared" si="35"/>
        <v>42</v>
      </c>
      <c r="H41" s="34">
        <f t="shared" ref="H41" si="36">1.5-0.05+0.15*2</f>
        <v>1.75</v>
      </c>
      <c r="I41" s="66" t="str">
        <f t="shared" si="25"/>
        <v> </v>
      </c>
      <c r="J41" s="66" t="str">
        <f t="shared" si="26"/>
        <v> </v>
      </c>
      <c r="K41" s="66">
        <f t="shared" si="27"/>
        <v>45.3495</v>
      </c>
      <c r="L41" s="66" t="str">
        <f t="shared" si="28"/>
        <v> </v>
      </c>
      <c r="M41" s="66" t="str">
        <f t="shared" si="29"/>
        <v> </v>
      </c>
      <c r="N41" s="66" t="str">
        <f t="shared" si="30"/>
        <v> </v>
      </c>
      <c r="O41" s="66" t="str">
        <f t="shared" si="31"/>
        <v> </v>
      </c>
      <c r="P41" s="66" t="str">
        <f t="shared" si="32"/>
        <v> </v>
      </c>
      <c r="Q41" s="66" t="str">
        <f t="shared" si="33"/>
        <v> </v>
      </c>
      <c r="R41" s="132" t="str">
        <f t="shared" si="34"/>
        <v> </v>
      </c>
    </row>
    <row r="42" s="2" customFormat="1" ht="12" customHeight="1" spans="1:18">
      <c r="A42" s="156" t="s">
        <v>275</v>
      </c>
      <c r="B42" s="33">
        <v>4</v>
      </c>
      <c r="C42" s="33">
        <v>8</v>
      </c>
      <c r="D42" s="32" t="s">
        <v>256</v>
      </c>
      <c r="E42" s="32">
        <v>10</v>
      </c>
      <c r="F42" s="33">
        <v>3</v>
      </c>
      <c r="G42" s="33">
        <f t="shared" si="35"/>
        <v>24</v>
      </c>
      <c r="H42" s="34">
        <f>2.2-0.05+0.15*2</f>
        <v>2.45</v>
      </c>
      <c r="I42" s="66" t="str">
        <f t="shared" si="25"/>
        <v> </v>
      </c>
      <c r="J42" s="66" t="str">
        <f t="shared" si="26"/>
        <v> </v>
      </c>
      <c r="K42" s="66">
        <f t="shared" si="27"/>
        <v>36.2796</v>
      </c>
      <c r="L42" s="66" t="str">
        <f t="shared" si="28"/>
        <v> </v>
      </c>
      <c r="M42" s="66" t="str">
        <f t="shared" si="29"/>
        <v> </v>
      </c>
      <c r="N42" s="66" t="str">
        <f t="shared" si="30"/>
        <v> </v>
      </c>
      <c r="O42" s="66" t="str">
        <f t="shared" si="31"/>
        <v> </v>
      </c>
      <c r="P42" s="66" t="str">
        <f t="shared" si="32"/>
        <v> </v>
      </c>
      <c r="Q42" s="66" t="str">
        <f t="shared" si="33"/>
        <v> </v>
      </c>
      <c r="R42" s="132" t="str">
        <f t="shared" si="34"/>
        <v> </v>
      </c>
    </row>
    <row r="43" s="2" customFormat="1" ht="12" customHeight="1" spans="1:18">
      <c r="A43" s="156"/>
      <c r="B43" s="36"/>
      <c r="C43" s="33"/>
      <c r="D43" s="32"/>
      <c r="E43" s="32"/>
      <c r="F43" s="33"/>
      <c r="G43" s="33"/>
      <c r="H43" s="34"/>
      <c r="I43" s="66" t="str">
        <f t="shared" si="25"/>
        <v> </v>
      </c>
      <c r="J43" s="66" t="str">
        <f t="shared" si="26"/>
        <v> </v>
      </c>
      <c r="K43" s="66" t="str">
        <f t="shared" si="27"/>
        <v> </v>
      </c>
      <c r="L43" s="66" t="str">
        <f t="shared" si="28"/>
        <v> </v>
      </c>
      <c r="M43" s="66" t="str">
        <f t="shared" si="29"/>
        <v> </v>
      </c>
      <c r="N43" s="66" t="str">
        <f t="shared" si="30"/>
        <v> </v>
      </c>
      <c r="O43" s="66" t="str">
        <f t="shared" si="31"/>
        <v> </v>
      </c>
      <c r="P43" s="66" t="str">
        <f t="shared" si="32"/>
        <v> </v>
      </c>
      <c r="Q43" s="66" t="str">
        <f t="shared" si="33"/>
        <v> </v>
      </c>
      <c r="R43" s="132" t="str">
        <f t="shared" si="34"/>
        <v> </v>
      </c>
    </row>
    <row r="44" s="2" customFormat="1" ht="12" customHeight="1" spans="1:18">
      <c r="A44" s="157"/>
      <c r="B44" s="38"/>
      <c r="C44" s="38"/>
      <c r="D44" s="39"/>
      <c r="E44" s="39"/>
      <c r="F44" s="38"/>
      <c r="G44" s="38"/>
      <c r="H44" s="40"/>
      <c r="I44" s="66" t="str">
        <f t="shared" si="25"/>
        <v> </v>
      </c>
      <c r="J44" s="66" t="str">
        <f t="shared" si="26"/>
        <v> </v>
      </c>
      <c r="K44" s="66" t="str">
        <f t="shared" si="27"/>
        <v> </v>
      </c>
      <c r="L44" s="66" t="str">
        <f t="shared" si="28"/>
        <v> </v>
      </c>
      <c r="M44" s="66" t="str">
        <f t="shared" si="29"/>
        <v> </v>
      </c>
      <c r="N44" s="66" t="str">
        <f t="shared" si="30"/>
        <v> </v>
      </c>
      <c r="O44" s="66" t="str">
        <f t="shared" si="31"/>
        <v> </v>
      </c>
      <c r="P44" s="66" t="str">
        <f t="shared" si="32"/>
        <v> </v>
      </c>
      <c r="Q44" s="66" t="str">
        <f t="shared" si="33"/>
        <v> </v>
      </c>
      <c r="R44" s="132" t="str">
        <f t="shared" si="34"/>
        <v> </v>
      </c>
    </row>
    <row r="45" ht="17.25" customHeight="1" spans="1:21">
      <c r="A45" s="112" t="s">
        <v>259</v>
      </c>
      <c r="B45" s="42"/>
      <c r="C45" s="42"/>
      <c r="D45" s="42"/>
      <c r="E45" s="42"/>
      <c r="F45" s="42"/>
      <c r="G45" s="42"/>
      <c r="H45" s="43"/>
      <c r="I45" s="67">
        <v>0.222</v>
      </c>
      <c r="J45" s="68">
        <v>0.397</v>
      </c>
      <c r="K45" s="69">
        <v>0.617</v>
      </c>
      <c r="L45" s="69">
        <v>0.888</v>
      </c>
      <c r="M45" s="69">
        <v>1.208</v>
      </c>
      <c r="N45" s="68">
        <v>1.576</v>
      </c>
      <c r="O45" s="68">
        <v>2.47</v>
      </c>
      <c r="P45" s="69">
        <v>3.854</v>
      </c>
      <c r="Q45" s="69">
        <v>6.313</v>
      </c>
      <c r="R45" s="133">
        <v>9.866</v>
      </c>
      <c r="T45" s="83"/>
      <c r="U45" s="83"/>
    </row>
    <row r="46" ht="15" customHeight="1" spans="1:21">
      <c r="A46" s="113" t="s">
        <v>260</v>
      </c>
      <c r="B46" s="45"/>
      <c r="C46" s="45"/>
      <c r="D46" s="45"/>
      <c r="E46" s="45"/>
      <c r="F46" s="45"/>
      <c r="G46" s="45"/>
      <c r="H46" s="46"/>
      <c r="I46" s="70">
        <f>SUM(I37:I44)</f>
        <v>0</v>
      </c>
      <c r="J46" s="70">
        <f t="shared" ref="J46:R46" si="37">SUM(J37:J44)</f>
        <v>0</v>
      </c>
      <c r="K46" s="70">
        <f t="shared" si="37"/>
        <v>117.9087</v>
      </c>
      <c r="L46" s="70">
        <f t="shared" si="37"/>
        <v>65.268</v>
      </c>
      <c r="M46" s="70">
        <f t="shared" si="37"/>
        <v>0</v>
      </c>
      <c r="N46" s="70">
        <f t="shared" si="37"/>
        <v>0</v>
      </c>
      <c r="O46" s="70">
        <f t="shared" si="37"/>
        <v>0</v>
      </c>
      <c r="P46" s="70">
        <f t="shared" si="37"/>
        <v>0</v>
      </c>
      <c r="Q46" s="70">
        <f t="shared" si="37"/>
        <v>0</v>
      </c>
      <c r="R46" s="134">
        <f t="shared" si="37"/>
        <v>0</v>
      </c>
      <c r="T46" s="83"/>
      <c r="U46" s="83"/>
    </row>
    <row r="47" s="3" customFormat="1" ht="16.5" customHeight="1" spans="1:21">
      <c r="A47" s="114" t="s">
        <v>261</v>
      </c>
      <c r="B47" s="48"/>
      <c r="C47" s="48"/>
      <c r="D47" s="48"/>
      <c r="E47" s="48"/>
      <c r="F47" s="48"/>
      <c r="G47" s="48"/>
      <c r="H47" s="49"/>
      <c r="I47" s="71"/>
      <c r="J47" s="72"/>
      <c r="K47" s="72"/>
      <c r="L47" s="72"/>
      <c r="M47" s="72"/>
      <c r="N47" s="72"/>
      <c r="O47" s="72"/>
      <c r="P47" s="71"/>
      <c r="Q47" s="71"/>
      <c r="R47" s="135">
        <f>(SUM(I46:R46))</f>
        <v>183.1767</v>
      </c>
      <c r="T47" s="86"/>
      <c r="U47" s="86"/>
    </row>
    <row r="48" hidden="1" spans="1:18">
      <c r="A48" s="158"/>
      <c r="B48" s="51"/>
      <c r="C48" s="52"/>
      <c r="D48" s="53"/>
      <c r="E48" s="53"/>
      <c r="F48" s="53"/>
      <c r="G48" s="52"/>
      <c r="H48" s="54"/>
      <c r="I48" s="75"/>
      <c r="J48" s="75"/>
      <c r="K48" s="75"/>
      <c r="L48" s="75"/>
      <c r="M48" s="75"/>
      <c r="N48" s="75"/>
      <c r="O48" s="75"/>
      <c r="P48" s="75"/>
      <c r="Q48" s="88" t="s">
        <v>262</v>
      </c>
      <c r="R48" s="169">
        <f>1.32*3</f>
        <v>3.96</v>
      </c>
    </row>
    <row r="49" hidden="1" spans="1:18">
      <c r="A49" s="158"/>
      <c r="B49" s="51"/>
      <c r="C49" s="52"/>
      <c r="D49" s="53"/>
      <c r="E49" s="53"/>
      <c r="F49" s="53"/>
      <c r="G49" s="52"/>
      <c r="H49" s="54"/>
      <c r="I49" s="75"/>
      <c r="J49" s="75"/>
      <c r="K49" s="75"/>
      <c r="L49" s="75"/>
      <c r="M49" s="75"/>
      <c r="N49" s="75"/>
      <c r="O49" s="75"/>
      <c r="P49" s="75"/>
      <c r="Q49" s="88" t="s">
        <v>263</v>
      </c>
      <c r="R49" s="170">
        <f>R47/R48</f>
        <v>46.2567424242424</v>
      </c>
    </row>
    <row r="50" ht="15.15" spans="1:18">
      <c r="A50" s="158"/>
      <c r="B50" s="51"/>
      <c r="C50" s="52"/>
      <c r="D50" s="53"/>
      <c r="E50" s="53"/>
      <c r="F50" s="53"/>
      <c r="G50" s="52"/>
      <c r="H50" s="54"/>
      <c r="I50" s="75"/>
      <c r="J50" s="75"/>
      <c r="K50" s="75"/>
      <c r="L50" s="75"/>
      <c r="M50" s="75"/>
      <c r="N50" s="75"/>
      <c r="O50" s="75"/>
      <c r="P50" s="75"/>
      <c r="Q50" s="88"/>
      <c r="R50" s="171"/>
    </row>
    <row r="51" s="1" customFormat="1" ht="21" customHeight="1" spans="1:18">
      <c r="A51" s="116" t="s">
        <v>235</v>
      </c>
      <c r="B51" s="17" t="s">
        <v>236</v>
      </c>
      <c r="C51" s="18" t="s">
        <v>237</v>
      </c>
      <c r="D51" s="17" t="s">
        <v>238</v>
      </c>
      <c r="E51" s="17"/>
      <c r="F51" s="17" t="s">
        <v>239</v>
      </c>
      <c r="G51" s="19" t="s">
        <v>240</v>
      </c>
      <c r="H51" s="20" t="s">
        <v>241</v>
      </c>
      <c r="I51" s="63" t="s">
        <v>242</v>
      </c>
      <c r="J51" s="64"/>
      <c r="K51" s="64"/>
      <c r="L51" s="64"/>
      <c r="M51" s="64"/>
      <c r="N51" s="64"/>
      <c r="O51" s="64"/>
      <c r="P51" s="64"/>
      <c r="Q51" s="64"/>
      <c r="R51" s="139"/>
    </row>
    <row r="52" s="1" customFormat="1" ht="15.75" customHeight="1" spans="1:18">
      <c r="A52" s="105"/>
      <c r="B52" s="22"/>
      <c r="C52" s="23"/>
      <c r="D52" s="22"/>
      <c r="E52" s="22"/>
      <c r="F52" s="22"/>
      <c r="G52" s="24"/>
      <c r="H52" s="25"/>
      <c r="I52" s="65" t="s">
        <v>243</v>
      </c>
      <c r="J52" s="65" t="s">
        <v>244</v>
      </c>
      <c r="K52" s="65" t="s">
        <v>245</v>
      </c>
      <c r="L52" s="65" t="s">
        <v>246</v>
      </c>
      <c r="M52" s="65" t="s">
        <v>247</v>
      </c>
      <c r="N52" s="65" t="s">
        <v>248</v>
      </c>
      <c r="O52" s="65" t="s">
        <v>249</v>
      </c>
      <c r="P52" s="65" t="s">
        <v>250</v>
      </c>
      <c r="Q52" s="65" t="s">
        <v>251</v>
      </c>
      <c r="R52" s="131" t="s">
        <v>252</v>
      </c>
    </row>
    <row r="53" s="2" customFormat="1" ht="14.25" customHeight="1" spans="1:18">
      <c r="A53" s="154" t="s">
        <v>253</v>
      </c>
      <c r="B53" s="27"/>
      <c r="C53" s="27"/>
      <c r="D53" s="27"/>
      <c r="E53" s="27"/>
      <c r="F53" s="27"/>
      <c r="G53" s="27"/>
      <c r="H53" s="28"/>
      <c r="I53" s="66" t="str">
        <f>IF(E53=6,(G53*H53*0.222)," ")</f>
        <v> </v>
      </c>
      <c r="J53" s="66" t="str">
        <f>IF(E53=8,(H53*G53*0.395)," ")</f>
        <v> </v>
      </c>
      <c r="K53" s="66" t="str">
        <f>IF(E53=10,(G53*H53*0.617)," ")</f>
        <v> </v>
      </c>
      <c r="L53" s="66" t="str">
        <f>IF(E53=12,(H53*G53*0.888)," ")</f>
        <v> </v>
      </c>
      <c r="M53" s="66" t="str">
        <f>IF(E53=14,(H53*G53*1.208)," ")</f>
        <v> </v>
      </c>
      <c r="N53" s="66" t="str">
        <f>IF(E53=16,(H53*G53*1.578)," ")</f>
        <v> </v>
      </c>
      <c r="O53" s="66" t="str">
        <f>IF(E53=20,(H53*G53*2.466)," ")</f>
        <v> </v>
      </c>
      <c r="P53" s="66" t="str">
        <f>IF(E53=25,(H53*G53*3.854)," ")</f>
        <v> </v>
      </c>
      <c r="Q53" s="66" t="str">
        <f>IF(E53=32,(H53*G53*6.314)," ")</f>
        <v> </v>
      </c>
      <c r="R53" s="132" t="str">
        <f>IF(E53=40,(H53*G53*9.866)," ")</f>
        <v> </v>
      </c>
    </row>
    <row r="54" s="2" customFormat="1" ht="12" customHeight="1" spans="1:18">
      <c r="A54" s="155" t="s">
        <v>278</v>
      </c>
      <c r="B54" s="30"/>
      <c r="C54" s="31"/>
      <c r="D54" s="32"/>
      <c r="E54" s="32"/>
      <c r="F54" s="33"/>
      <c r="G54" s="33"/>
      <c r="H54" s="34"/>
      <c r="I54" s="66" t="str">
        <f t="shared" ref="I54:I60" si="38">IF(E54=6,(G54*H54*0.222)," ")</f>
        <v> </v>
      </c>
      <c r="J54" s="66" t="str">
        <f t="shared" ref="J54:J60" si="39">IF(E54=8,(H54*G54*0.395)," ")</f>
        <v> </v>
      </c>
      <c r="K54" s="66" t="str">
        <f t="shared" ref="K54:K60" si="40">IF(E54=10,(G54*H54*0.617)," ")</f>
        <v> </v>
      </c>
      <c r="L54" s="66" t="str">
        <f t="shared" ref="L54:L60" si="41">IF(E54=12,(H54*G54*0.888)," ")</f>
        <v> </v>
      </c>
      <c r="M54" s="66" t="str">
        <f t="shared" ref="M54:M60" si="42">IF(E54=14,(H54*G54*1.208)," ")</f>
        <v> </v>
      </c>
      <c r="N54" s="66" t="str">
        <f t="shared" ref="N54:N60" si="43">IF(E54=16,(H54*G54*1.578)," ")</f>
        <v> </v>
      </c>
      <c r="O54" s="66" t="str">
        <f t="shared" ref="O54:O60" si="44">IF(E54=20,(H54*G54*2.466)," ")</f>
        <v> </v>
      </c>
      <c r="P54" s="66" t="str">
        <f t="shared" ref="P54:P60" si="45">IF(E54=25,(H54*G54*3.854)," ")</f>
        <v> </v>
      </c>
      <c r="Q54" s="66" t="str">
        <f t="shared" ref="Q54:Q60" si="46">IF(E54=32,(H54*G54*6.314)," ")</f>
        <v> </v>
      </c>
      <c r="R54" s="132" t="str">
        <f t="shared" ref="R54:R60" si="47">IF(E54=40,(H54*G54*9.866)," ")</f>
        <v> </v>
      </c>
    </row>
    <row r="55" s="2" customFormat="1" ht="12" customHeight="1" spans="1:18">
      <c r="A55" s="156" t="s">
        <v>272</v>
      </c>
      <c r="B55" s="36">
        <v>1</v>
      </c>
      <c r="C55" s="33">
        <v>9</v>
      </c>
      <c r="D55" s="32" t="s">
        <v>256</v>
      </c>
      <c r="E55" s="32">
        <v>12</v>
      </c>
      <c r="F55" s="33">
        <v>2</v>
      </c>
      <c r="G55" s="33">
        <f t="shared" ref="G55:G58" si="48">F55*C55</f>
        <v>18</v>
      </c>
      <c r="H55" s="34">
        <f>1.2-0.05+0.15*2</f>
        <v>1.45</v>
      </c>
      <c r="I55" s="66" t="str">
        <f t="shared" si="38"/>
        <v> </v>
      </c>
      <c r="J55" s="66" t="str">
        <f t="shared" si="39"/>
        <v> </v>
      </c>
      <c r="K55" s="66" t="str">
        <f t="shared" si="40"/>
        <v> </v>
      </c>
      <c r="L55" s="66">
        <f t="shared" si="41"/>
        <v>23.1768</v>
      </c>
      <c r="M55" s="66" t="str">
        <f t="shared" si="42"/>
        <v> </v>
      </c>
      <c r="N55" s="66" t="str">
        <f t="shared" si="43"/>
        <v> </v>
      </c>
      <c r="O55" s="66" t="str">
        <f t="shared" si="44"/>
        <v> </v>
      </c>
      <c r="P55" s="66" t="str">
        <f t="shared" si="45"/>
        <v> </v>
      </c>
      <c r="Q55" s="66" t="str">
        <f t="shared" si="46"/>
        <v> </v>
      </c>
      <c r="R55" s="132" t="str">
        <f t="shared" si="47"/>
        <v> </v>
      </c>
    </row>
    <row r="56" s="2" customFormat="1" ht="12" customHeight="1" spans="1:18">
      <c r="A56" s="156" t="s">
        <v>273</v>
      </c>
      <c r="B56" s="33">
        <v>2</v>
      </c>
      <c r="C56" s="33">
        <v>7</v>
      </c>
      <c r="D56" s="32" t="s">
        <v>256</v>
      </c>
      <c r="E56" s="32">
        <v>10</v>
      </c>
      <c r="F56" s="33">
        <v>2</v>
      </c>
      <c r="G56" s="33">
        <f t="shared" si="48"/>
        <v>14</v>
      </c>
      <c r="H56" s="34">
        <f>1.6-0.05+0.15*2</f>
        <v>1.85</v>
      </c>
      <c r="I56" s="66" t="str">
        <f t="shared" si="38"/>
        <v> </v>
      </c>
      <c r="J56" s="66" t="str">
        <f t="shared" si="39"/>
        <v> </v>
      </c>
      <c r="K56" s="66">
        <f t="shared" si="40"/>
        <v>15.9803</v>
      </c>
      <c r="L56" s="66" t="str">
        <f t="shared" si="41"/>
        <v> </v>
      </c>
      <c r="M56" s="66" t="str">
        <f t="shared" si="42"/>
        <v> </v>
      </c>
      <c r="N56" s="66" t="str">
        <f t="shared" si="43"/>
        <v> </v>
      </c>
      <c r="O56" s="66" t="str">
        <f t="shared" si="44"/>
        <v> </v>
      </c>
      <c r="P56" s="66" t="str">
        <f t="shared" si="45"/>
        <v> </v>
      </c>
      <c r="Q56" s="66" t="str">
        <f t="shared" si="46"/>
        <v> </v>
      </c>
      <c r="R56" s="132" t="str">
        <f t="shared" si="47"/>
        <v> </v>
      </c>
    </row>
    <row r="57" s="2" customFormat="1" ht="12" customHeight="1" spans="1:18">
      <c r="A57" s="156" t="s">
        <v>274</v>
      </c>
      <c r="B57" s="36">
        <v>3</v>
      </c>
      <c r="C57" s="33">
        <v>9</v>
      </c>
      <c r="D57" s="32" t="s">
        <v>256</v>
      </c>
      <c r="E57" s="32">
        <v>10</v>
      </c>
      <c r="F57" s="33">
        <v>2</v>
      </c>
      <c r="G57" s="33">
        <f t="shared" si="48"/>
        <v>18</v>
      </c>
      <c r="H57" s="34">
        <f>1.2-0.05+0.15*2</f>
        <v>1.45</v>
      </c>
      <c r="I57" s="66" t="str">
        <f t="shared" si="38"/>
        <v> </v>
      </c>
      <c r="J57" s="66" t="str">
        <f t="shared" si="39"/>
        <v> </v>
      </c>
      <c r="K57" s="66">
        <f t="shared" si="40"/>
        <v>16.1037</v>
      </c>
      <c r="L57" s="66" t="str">
        <f t="shared" si="41"/>
        <v> </v>
      </c>
      <c r="M57" s="66" t="str">
        <f t="shared" si="42"/>
        <v> </v>
      </c>
      <c r="N57" s="66" t="str">
        <f t="shared" si="43"/>
        <v> </v>
      </c>
      <c r="O57" s="66" t="str">
        <f t="shared" si="44"/>
        <v> </v>
      </c>
      <c r="P57" s="66" t="str">
        <f t="shared" si="45"/>
        <v> </v>
      </c>
      <c r="Q57" s="66" t="str">
        <f t="shared" si="46"/>
        <v> </v>
      </c>
      <c r="R57" s="132" t="str">
        <f t="shared" si="47"/>
        <v> </v>
      </c>
    </row>
    <row r="58" s="2" customFormat="1" ht="12" customHeight="1" spans="1:18">
      <c r="A58" s="156" t="s">
        <v>275</v>
      </c>
      <c r="B58" s="33">
        <v>4</v>
      </c>
      <c r="C58" s="33">
        <v>7</v>
      </c>
      <c r="D58" s="32" t="s">
        <v>256</v>
      </c>
      <c r="E58" s="32">
        <v>10</v>
      </c>
      <c r="F58" s="33">
        <v>2</v>
      </c>
      <c r="G58" s="33">
        <f t="shared" si="48"/>
        <v>14</v>
      </c>
      <c r="H58" s="34">
        <f>1.6-0.05+0.15*2</f>
        <v>1.85</v>
      </c>
      <c r="I58" s="66" t="str">
        <f t="shared" si="38"/>
        <v> </v>
      </c>
      <c r="J58" s="66" t="str">
        <f t="shared" si="39"/>
        <v> </v>
      </c>
      <c r="K58" s="66">
        <f t="shared" si="40"/>
        <v>15.9803</v>
      </c>
      <c r="L58" s="66" t="str">
        <f t="shared" si="41"/>
        <v> </v>
      </c>
      <c r="M58" s="66" t="str">
        <f t="shared" si="42"/>
        <v> </v>
      </c>
      <c r="N58" s="66" t="str">
        <f t="shared" si="43"/>
        <v> </v>
      </c>
      <c r="O58" s="66" t="str">
        <f t="shared" si="44"/>
        <v> </v>
      </c>
      <c r="P58" s="66" t="str">
        <f t="shared" si="45"/>
        <v> </v>
      </c>
      <c r="Q58" s="66" t="str">
        <f t="shared" si="46"/>
        <v> </v>
      </c>
      <c r="R58" s="132" t="str">
        <f t="shared" si="47"/>
        <v> </v>
      </c>
    </row>
    <row r="59" s="2" customFormat="1" ht="12" customHeight="1" spans="1:18">
      <c r="A59" s="156"/>
      <c r="B59" s="36"/>
      <c r="C59" s="33"/>
      <c r="D59" s="32"/>
      <c r="E59" s="32"/>
      <c r="F59" s="33"/>
      <c r="G59" s="33"/>
      <c r="H59" s="34"/>
      <c r="I59" s="66" t="str">
        <f t="shared" si="38"/>
        <v> </v>
      </c>
      <c r="J59" s="66" t="str">
        <f t="shared" si="39"/>
        <v> </v>
      </c>
      <c r="K59" s="66" t="str">
        <f t="shared" si="40"/>
        <v> </v>
      </c>
      <c r="L59" s="66" t="str">
        <f t="shared" si="41"/>
        <v> </v>
      </c>
      <c r="M59" s="66" t="str">
        <f t="shared" si="42"/>
        <v> </v>
      </c>
      <c r="N59" s="66" t="str">
        <f t="shared" si="43"/>
        <v> </v>
      </c>
      <c r="O59" s="66" t="str">
        <f t="shared" si="44"/>
        <v> </v>
      </c>
      <c r="P59" s="66" t="str">
        <f t="shared" si="45"/>
        <v> </v>
      </c>
      <c r="Q59" s="66" t="str">
        <f t="shared" si="46"/>
        <v> </v>
      </c>
      <c r="R59" s="132" t="str">
        <f t="shared" si="47"/>
        <v> </v>
      </c>
    </row>
    <row r="60" s="2" customFormat="1" ht="12" customHeight="1" spans="1:18">
      <c r="A60" s="157"/>
      <c r="B60" s="38"/>
      <c r="C60" s="38"/>
      <c r="D60" s="39"/>
      <c r="E60" s="39"/>
      <c r="F60" s="38"/>
      <c r="G60" s="38"/>
      <c r="H60" s="40"/>
      <c r="I60" s="66" t="str">
        <f t="shared" si="38"/>
        <v> </v>
      </c>
      <c r="J60" s="66" t="str">
        <f t="shared" si="39"/>
        <v> </v>
      </c>
      <c r="K60" s="66" t="str">
        <f t="shared" si="40"/>
        <v> </v>
      </c>
      <c r="L60" s="66" t="str">
        <f t="shared" si="41"/>
        <v> </v>
      </c>
      <c r="M60" s="66" t="str">
        <f t="shared" si="42"/>
        <v> </v>
      </c>
      <c r="N60" s="66" t="str">
        <f t="shared" si="43"/>
        <v> </v>
      </c>
      <c r="O60" s="66" t="str">
        <f t="shared" si="44"/>
        <v> </v>
      </c>
      <c r="P60" s="66" t="str">
        <f t="shared" si="45"/>
        <v> </v>
      </c>
      <c r="Q60" s="66" t="str">
        <f t="shared" si="46"/>
        <v> </v>
      </c>
      <c r="R60" s="132" t="str">
        <f t="shared" si="47"/>
        <v> </v>
      </c>
    </row>
    <row r="61" ht="17.25" customHeight="1" spans="1:21">
      <c r="A61" s="112" t="s">
        <v>259</v>
      </c>
      <c r="B61" s="42"/>
      <c r="C61" s="42"/>
      <c r="D61" s="42"/>
      <c r="E61" s="42"/>
      <c r="F61" s="42"/>
      <c r="G61" s="42"/>
      <c r="H61" s="43"/>
      <c r="I61" s="67">
        <v>0.222</v>
      </c>
      <c r="J61" s="68">
        <v>0.397</v>
      </c>
      <c r="K61" s="69">
        <v>0.617</v>
      </c>
      <c r="L61" s="69">
        <v>0.888</v>
      </c>
      <c r="M61" s="69">
        <v>1.208</v>
      </c>
      <c r="N61" s="68">
        <v>1.576</v>
      </c>
      <c r="O61" s="68">
        <v>2.47</v>
      </c>
      <c r="P61" s="69">
        <v>3.854</v>
      </c>
      <c r="Q61" s="69">
        <v>6.313</v>
      </c>
      <c r="R61" s="133">
        <v>9.866</v>
      </c>
      <c r="T61" s="83"/>
      <c r="U61" s="83"/>
    </row>
    <row r="62" ht="15" customHeight="1" spans="1:21">
      <c r="A62" s="113" t="s">
        <v>260</v>
      </c>
      <c r="B62" s="45"/>
      <c r="C62" s="45"/>
      <c r="D62" s="45"/>
      <c r="E62" s="45"/>
      <c r="F62" s="45"/>
      <c r="G62" s="45"/>
      <c r="H62" s="46"/>
      <c r="I62" s="70">
        <f>SUM(I53:I60)</f>
        <v>0</v>
      </c>
      <c r="J62" s="70">
        <f t="shared" ref="J62:R62" si="49">SUM(J53:J60)</f>
        <v>0</v>
      </c>
      <c r="K62" s="70">
        <f t="shared" si="49"/>
        <v>48.0643</v>
      </c>
      <c r="L62" s="70">
        <f t="shared" si="49"/>
        <v>23.1768</v>
      </c>
      <c r="M62" s="70">
        <f t="shared" si="49"/>
        <v>0</v>
      </c>
      <c r="N62" s="70">
        <f t="shared" si="49"/>
        <v>0</v>
      </c>
      <c r="O62" s="70">
        <f t="shared" si="49"/>
        <v>0</v>
      </c>
      <c r="P62" s="70">
        <f t="shared" si="49"/>
        <v>0</v>
      </c>
      <c r="Q62" s="70">
        <f t="shared" si="49"/>
        <v>0</v>
      </c>
      <c r="R62" s="134">
        <f t="shared" si="49"/>
        <v>0</v>
      </c>
      <c r="T62" s="83"/>
      <c r="U62" s="83"/>
    </row>
    <row r="63" s="3" customFormat="1" ht="16.5" customHeight="1" spans="1:21">
      <c r="A63" s="114" t="s">
        <v>261</v>
      </c>
      <c r="B63" s="48"/>
      <c r="C63" s="48"/>
      <c r="D63" s="48"/>
      <c r="E63" s="48"/>
      <c r="F63" s="48"/>
      <c r="G63" s="48"/>
      <c r="H63" s="49"/>
      <c r="I63" s="71"/>
      <c r="J63" s="72"/>
      <c r="K63" s="72"/>
      <c r="L63" s="72"/>
      <c r="M63" s="72"/>
      <c r="N63" s="72"/>
      <c r="O63" s="72"/>
      <c r="P63" s="71"/>
      <c r="Q63" s="71"/>
      <c r="R63" s="135">
        <f>(SUM(I62:R62))</f>
        <v>71.2411</v>
      </c>
      <c r="T63" s="86"/>
      <c r="U63" s="86"/>
    </row>
    <row r="64" hidden="1" spans="1:18">
      <c r="A64" s="158"/>
      <c r="B64" s="51"/>
      <c r="C64" s="52"/>
      <c r="D64" s="53"/>
      <c r="E64" s="53"/>
      <c r="F64" s="53"/>
      <c r="G64" s="52"/>
      <c r="H64" s="54"/>
      <c r="I64" s="75"/>
      <c r="J64" s="75"/>
      <c r="K64" s="75"/>
      <c r="L64" s="75"/>
      <c r="M64" s="75"/>
      <c r="N64" s="75"/>
      <c r="O64" s="75"/>
      <c r="P64" s="75"/>
      <c r="Q64" s="88" t="s">
        <v>262</v>
      </c>
      <c r="R64" s="169">
        <f>0.58*2</f>
        <v>1.16</v>
      </c>
    </row>
    <row r="65" hidden="1" spans="1:18">
      <c r="A65" s="158"/>
      <c r="B65" s="51"/>
      <c r="C65" s="52"/>
      <c r="D65" s="53"/>
      <c r="E65" s="53"/>
      <c r="F65" s="53"/>
      <c r="G65" s="52"/>
      <c r="H65" s="54"/>
      <c r="I65" s="75"/>
      <c r="J65" s="75"/>
      <c r="K65" s="75"/>
      <c r="L65" s="75"/>
      <c r="M65" s="75"/>
      <c r="N65" s="75"/>
      <c r="O65" s="75"/>
      <c r="P65" s="75"/>
      <c r="Q65" s="88" t="s">
        <v>263</v>
      </c>
      <c r="R65" s="170">
        <f>R63/R64</f>
        <v>61.4147413793103</v>
      </c>
    </row>
    <row r="66" ht="15.15" spans="1:18">
      <c r="A66" s="158"/>
      <c r="B66" s="51"/>
      <c r="C66" s="52"/>
      <c r="D66" s="53"/>
      <c r="E66" s="53"/>
      <c r="F66" s="53"/>
      <c r="G66" s="52"/>
      <c r="H66" s="54"/>
      <c r="I66" s="75"/>
      <c r="J66" s="75"/>
      <c r="K66" s="75"/>
      <c r="L66" s="75"/>
      <c r="M66" s="75"/>
      <c r="N66" s="75"/>
      <c r="O66" s="75"/>
      <c r="P66" s="75"/>
      <c r="Q66" s="88"/>
      <c r="R66" s="171"/>
    </row>
    <row r="67" s="1" customFormat="1" ht="21" customHeight="1" spans="1:18">
      <c r="A67" s="116" t="s">
        <v>235</v>
      </c>
      <c r="B67" s="17" t="s">
        <v>236</v>
      </c>
      <c r="C67" s="18" t="s">
        <v>237</v>
      </c>
      <c r="D67" s="17" t="s">
        <v>238</v>
      </c>
      <c r="E67" s="17"/>
      <c r="F67" s="17" t="s">
        <v>239</v>
      </c>
      <c r="G67" s="19" t="s">
        <v>240</v>
      </c>
      <c r="H67" s="20" t="s">
        <v>241</v>
      </c>
      <c r="I67" s="63" t="s">
        <v>242</v>
      </c>
      <c r="J67" s="64"/>
      <c r="K67" s="64"/>
      <c r="L67" s="64"/>
      <c r="M67" s="64"/>
      <c r="N67" s="64"/>
      <c r="O67" s="64"/>
      <c r="P67" s="64"/>
      <c r="Q67" s="64"/>
      <c r="R67" s="139"/>
    </row>
    <row r="68" s="1" customFormat="1" ht="15.75" customHeight="1" spans="1:18">
      <c r="A68" s="105"/>
      <c r="B68" s="22"/>
      <c r="C68" s="23"/>
      <c r="D68" s="22"/>
      <c r="E68" s="22"/>
      <c r="F68" s="22"/>
      <c r="G68" s="24"/>
      <c r="H68" s="25"/>
      <c r="I68" s="65" t="s">
        <v>243</v>
      </c>
      <c r="J68" s="65" t="s">
        <v>244</v>
      </c>
      <c r="K68" s="65" t="s">
        <v>245</v>
      </c>
      <c r="L68" s="65" t="s">
        <v>246</v>
      </c>
      <c r="M68" s="65" t="s">
        <v>247</v>
      </c>
      <c r="N68" s="65" t="s">
        <v>248</v>
      </c>
      <c r="O68" s="65" t="s">
        <v>249</v>
      </c>
      <c r="P68" s="65" t="s">
        <v>250</v>
      </c>
      <c r="Q68" s="65" t="s">
        <v>251</v>
      </c>
      <c r="R68" s="131" t="s">
        <v>252</v>
      </c>
    </row>
    <row r="69" s="2" customFormat="1" ht="14.25" customHeight="1" spans="1:18">
      <c r="A69" s="154" t="s">
        <v>253</v>
      </c>
      <c r="B69" s="27"/>
      <c r="C69" s="27"/>
      <c r="D69" s="27"/>
      <c r="E69" s="27"/>
      <c r="F69" s="27"/>
      <c r="G69" s="27"/>
      <c r="H69" s="28"/>
      <c r="I69" s="66" t="str">
        <f>IF(E69=6,(G69*H69*0.222)," ")</f>
        <v> </v>
      </c>
      <c r="J69" s="66" t="str">
        <f>IF(E69=8,(H69*G69*0.395)," ")</f>
        <v> </v>
      </c>
      <c r="K69" s="66" t="str">
        <f>IF(E69=10,(G69*H69*0.617)," ")</f>
        <v> </v>
      </c>
      <c r="L69" s="66" t="str">
        <f>IF(E69=12,(H69*G69*0.888)," ")</f>
        <v> </v>
      </c>
      <c r="M69" s="66" t="str">
        <f>IF(E69=14,(H69*G69*1.208)," ")</f>
        <v> </v>
      </c>
      <c r="N69" s="66" t="str">
        <f>IF(E69=16,(H69*G69*1.578)," ")</f>
        <v> </v>
      </c>
      <c r="O69" s="66" t="str">
        <f>IF(E69=20,(H69*G69*2.466)," ")</f>
        <v> </v>
      </c>
      <c r="P69" s="66" t="str">
        <f>IF(E69=25,(H69*G69*3.854)," ")</f>
        <v> </v>
      </c>
      <c r="Q69" s="66" t="str">
        <f>IF(E69=32,(H69*G69*6.314)," ")</f>
        <v> </v>
      </c>
      <c r="R69" s="132" t="str">
        <f>IF(E69=40,(H69*G69*9.866)," ")</f>
        <v> </v>
      </c>
    </row>
    <row r="70" s="2" customFormat="1" ht="12" customHeight="1" spans="1:18">
      <c r="A70" s="155" t="s">
        <v>279</v>
      </c>
      <c r="B70" s="30"/>
      <c r="C70" s="31"/>
      <c r="D70" s="32"/>
      <c r="E70" s="32"/>
      <c r="F70" s="33"/>
      <c r="G70" s="33"/>
      <c r="H70" s="34"/>
      <c r="I70" s="66" t="str">
        <f t="shared" ref="I70:I74" si="50">IF(E70=6,(G70*H70*0.222)," ")</f>
        <v> </v>
      </c>
      <c r="J70" s="66" t="str">
        <f t="shared" ref="J70:J74" si="51">IF(E70=8,(H70*G70*0.395)," ")</f>
        <v> </v>
      </c>
      <c r="K70" s="66" t="str">
        <f t="shared" ref="K70:K74" si="52">IF(E70=10,(G70*H70*0.617)," ")</f>
        <v> </v>
      </c>
      <c r="L70" s="66" t="str">
        <f t="shared" ref="L70:L74" si="53">IF(E70=12,(H70*G70*0.888)," ")</f>
        <v> </v>
      </c>
      <c r="M70" s="66" t="str">
        <f t="shared" ref="M70:M74" si="54">IF(E70=14,(H70*G70*1.208)," ")</f>
        <v> </v>
      </c>
      <c r="N70" s="66" t="str">
        <f t="shared" ref="N70:N74" si="55">IF(E70=16,(H70*G70*1.578)," ")</f>
        <v> </v>
      </c>
      <c r="O70" s="66" t="str">
        <f t="shared" ref="O70:O74" si="56">IF(E70=20,(H70*G70*2.466)," ")</f>
        <v> </v>
      </c>
      <c r="P70" s="66" t="str">
        <f t="shared" ref="P70:P74" si="57">IF(E70=25,(H70*G70*3.854)," ")</f>
        <v> </v>
      </c>
      <c r="Q70" s="66" t="str">
        <f t="shared" ref="Q70:Q74" si="58">IF(E70=32,(H70*G70*6.314)," ")</f>
        <v> </v>
      </c>
      <c r="R70" s="132" t="str">
        <f t="shared" ref="R70:R74" si="59">IF(E70=40,(H70*G70*9.866)," ")</f>
        <v> </v>
      </c>
    </row>
    <row r="71" s="2" customFormat="1" ht="12" customHeight="1" spans="1:18">
      <c r="A71" s="156" t="s">
        <v>280</v>
      </c>
      <c r="B71" s="36"/>
      <c r="C71" s="33">
        <v>6</v>
      </c>
      <c r="D71" s="32" t="s">
        <v>256</v>
      </c>
      <c r="E71" s="32">
        <v>10</v>
      </c>
      <c r="F71" s="33">
        <v>1</v>
      </c>
      <c r="G71" s="33">
        <f t="shared" ref="G71:G72" si="60">F71*C71</f>
        <v>6</v>
      </c>
      <c r="H71" s="34">
        <f>49.7-0.05+0.1*2</f>
        <v>49.85</v>
      </c>
      <c r="I71" s="66" t="str">
        <f t="shared" si="50"/>
        <v> </v>
      </c>
      <c r="J71" s="66" t="str">
        <f t="shared" si="51"/>
        <v> </v>
      </c>
      <c r="K71" s="66">
        <f t="shared" si="52"/>
        <v>184.5447</v>
      </c>
      <c r="L71" s="66" t="str">
        <f t="shared" si="53"/>
        <v> </v>
      </c>
      <c r="M71" s="66" t="str">
        <f t="shared" si="54"/>
        <v> </v>
      </c>
      <c r="N71" s="66" t="str">
        <f t="shared" si="55"/>
        <v> </v>
      </c>
      <c r="O71" s="66" t="str">
        <f t="shared" si="56"/>
        <v> </v>
      </c>
      <c r="P71" s="66" t="str">
        <f t="shared" si="57"/>
        <v> </v>
      </c>
      <c r="Q71" s="66" t="str">
        <f t="shared" si="58"/>
        <v> </v>
      </c>
      <c r="R71" s="132" t="str">
        <f t="shared" si="59"/>
        <v> </v>
      </c>
    </row>
    <row r="72" s="2" customFormat="1" ht="12" customHeight="1" spans="1:18">
      <c r="A72" s="156" t="s">
        <v>281</v>
      </c>
      <c r="B72" s="33"/>
      <c r="C72" s="33">
        <v>250</v>
      </c>
      <c r="D72" s="32" t="s">
        <v>256</v>
      </c>
      <c r="E72" s="32">
        <v>8</v>
      </c>
      <c r="F72" s="33">
        <v>1</v>
      </c>
      <c r="G72" s="33">
        <f t="shared" si="60"/>
        <v>250</v>
      </c>
      <c r="H72" s="34">
        <f>0.35*2+0.15*4+10*0.008*2</f>
        <v>1.46</v>
      </c>
      <c r="I72" s="66" t="str">
        <f t="shared" si="50"/>
        <v> </v>
      </c>
      <c r="J72" s="66">
        <f t="shared" si="51"/>
        <v>144.175</v>
      </c>
      <c r="K72" s="66" t="str">
        <f t="shared" si="52"/>
        <v> </v>
      </c>
      <c r="L72" s="66" t="str">
        <f t="shared" si="53"/>
        <v> </v>
      </c>
      <c r="M72" s="66" t="str">
        <f t="shared" si="54"/>
        <v> </v>
      </c>
      <c r="N72" s="66" t="str">
        <f t="shared" si="55"/>
        <v> </v>
      </c>
      <c r="O72" s="66" t="str">
        <f t="shared" si="56"/>
        <v> </v>
      </c>
      <c r="P72" s="66" t="str">
        <f t="shared" si="57"/>
        <v> </v>
      </c>
      <c r="Q72" s="66" t="str">
        <f t="shared" si="58"/>
        <v> </v>
      </c>
      <c r="R72" s="132" t="str">
        <f t="shared" si="59"/>
        <v> </v>
      </c>
    </row>
    <row r="73" s="2" customFormat="1" ht="12" customHeight="1" spans="1:18">
      <c r="A73" s="156"/>
      <c r="B73" s="36"/>
      <c r="C73" s="33"/>
      <c r="D73" s="32"/>
      <c r="E73" s="32"/>
      <c r="F73" s="33"/>
      <c r="G73" s="33"/>
      <c r="H73" s="34"/>
      <c r="I73" s="66" t="str">
        <f t="shared" si="50"/>
        <v> </v>
      </c>
      <c r="J73" s="66" t="str">
        <f t="shared" si="51"/>
        <v> </v>
      </c>
      <c r="K73" s="66" t="str">
        <f t="shared" si="52"/>
        <v> </v>
      </c>
      <c r="L73" s="66" t="str">
        <f t="shared" si="53"/>
        <v> </v>
      </c>
      <c r="M73" s="66" t="str">
        <f t="shared" si="54"/>
        <v> </v>
      </c>
      <c r="N73" s="66" t="str">
        <f t="shared" si="55"/>
        <v> </v>
      </c>
      <c r="O73" s="66" t="str">
        <f t="shared" si="56"/>
        <v> </v>
      </c>
      <c r="P73" s="66" t="str">
        <f t="shared" si="57"/>
        <v> </v>
      </c>
      <c r="Q73" s="66" t="str">
        <f t="shared" si="58"/>
        <v> </v>
      </c>
      <c r="R73" s="132" t="str">
        <f t="shared" si="59"/>
        <v> </v>
      </c>
    </row>
    <row r="74" s="2" customFormat="1" ht="12" customHeight="1" spans="1:18">
      <c r="A74" s="157"/>
      <c r="B74" s="38"/>
      <c r="C74" s="38"/>
      <c r="D74" s="39"/>
      <c r="E74" s="39"/>
      <c r="F74" s="38"/>
      <c r="G74" s="38"/>
      <c r="H74" s="40"/>
      <c r="I74" s="66" t="str">
        <f t="shared" si="50"/>
        <v> </v>
      </c>
      <c r="J74" s="66" t="str">
        <f t="shared" si="51"/>
        <v> </v>
      </c>
      <c r="K74" s="66" t="str">
        <f t="shared" si="52"/>
        <v> </v>
      </c>
      <c r="L74" s="66" t="str">
        <f t="shared" si="53"/>
        <v> </v>
      </c>
      <c r="M74" s="66" t="str">
        <f t="shared" si="54"/>
        <v> </v>
      </c>
      <c r="N74" s="66" t="str">
        <f t="shared" si="55"/>
        <v> </v>
      </c>
      <c r="O74" s="66" t="str">
        <f t="shared" si="56"/>
        <v> </v>
      </c>
      <c r="P74" s="66" t="str">
        <f t="shared" si="57"/>
        <v> </v>
      </c>
      <c r="Q74" s="66" t="str">
        <f t="shared" si="58"/>
        <v> </v>
      </c>
      <c r="R74" s="132" t="str">
        <f t="shared" si="59"/>
        <v> </v>
      </c>
    </row>
    <row r="75" ht="17.25" customHeight="1" spans="1:21">
      <c r="A75" s="112" t="s">
        <v>259</v>
      </c>
      <c r="B75" s="42"/>
      <c r="C75" s="42"/>
      <c r="D75" s="42"/>
      <c r="E75" s="42"/>
      <c r="F75" s="42"/>
      <c r="G75" s="42"/>
      <c r="H75" s="43"/>
      <c r="I75" s="67">
        <v>0.222</v>
      </c>
      <c r="J75" s="68">
        <v>0.397</v>
      </c>
      <c r="K75" s="69">
        <v>0.617</v>
      </c>
      <c r="L75" s="69">
        <v>0.888</v>
      </c>
      <c r="M75" s="69">
        <v>1.208</v>
      </c>
      <c r="N75" s="68">
        <v>1.576</v>
      </c>
      <c r="O75" s="68">
        <v>2.47</v>
      </c>
      <c r="P75" s="69">
        <v>3.854</v>
      </c>
      <c r="Q75" s="69">
        <v>6.313</v>
      </c>
      <c r="R75" s="133">
        <v>9.866</v>
      </c>
      <c r="T75" s="83"/>
      <c r="U75" s="83"/>
    </row>
    <row r="76" ht="15" customHeight="1" spans="1:21">
      <c r="A76" s="113" t="s">
        <v>260</v>
      </c>
      <c r="B76" s="45"/>
      <c r="C76" s="45"/>
      <c r="D76" s="45"/>
      <c r="E76" s="45"/>
      <c r="F76" s="45"/>
      <c r="G76" s="45"/>
      <c r="H76" s="46"/>
      <c r="I76" s="70">
        <f>SUM(I69:I74)</f>
        <v>0</v>
      </c>
      <c r="J76" s="70">
        <f t="shared" ref="J76:R76" si="61">SUM(J69:J74)</f>
        <v>144.175</v>
      </c>
      <c r="K76" s="70">
        <f t="shared" si="61"/>
        <v>184.5447</v>
      </c>
      <c r="L76" s="70">
        <f t="shared" si="61"/>
        <v>0</v>
      </c>
      <c r="M76" s="70">
        <f t="shared" si="61"/>
        <v>0</v>
      </c>
      <c r="N76" s="70">
        <f t="shared" si="61"/>
        <v>0</v>
      </c>
      <c r="O76" s="70">
        <f t="shared" si="61"/>
        <v>0</v>
      </c>
      <c r="P76" s="70">
        <f t="shared" si="61"/>
        <v>0</v>
      </c>
      <c r="Q76" s="70">
        <f t="shared" si="61"/>
        <v>0</v>
      </c>
      <c r="R76" s="134">
        <f t="shared" si="61"/>
        <v>0</v>
      </c>
      <c r="T76" s="83"/>
      <c r="U76" s="83"/>
    </row>
    <row r="77" s="3" customFormat="1" ht="16.5" customHeight="1" spans="1:21">
      <c r="A77" s="114" t="s">
        <v>261</v>
      </c>
      <c r="B77" s="48"/>
      <c r="C77" s="48"/>
      <c r="D77" s="48"/>
      <c r="E77" s="48"/>
      <c r="F77" s="48"/>
      <c r="G77" s="48"/>
      <c r="H77" s="49"/>
      <c r="I77" s="71"/>
      <c r="J77" s="72"/>
      <c r="K77" s="72"/>
      <c r="L77" s="72"/>
      <c r="M77" s="72"/>
      <c r="N77" s="72"/>
      <c r="O77" s="72"/>
      <c r="P77" s="71"/>
      <c r="Q77" s="71"/>
      <c r="R77" s="135">
        <f>(SUM(I76:R76))</f>
        <v>328.7197</v>
      </c>
      <c r="T77" s="86"/>
      <c r="U77" s="86"/>
    </row>
    <row r="78" hidden="1" spans="1:18">
      <c r="A78" s="158"/>
      <c r="B78" s="51"/>
      <c r="C78" s="52"/>
      <c r="D78" s="53"/>
      <c r="E78" s="53"/>
      <c r="F78" s="53"/>
      <c r="G78" s="52"/>
      <c r="H78" s="54"/>
      <c r="I78" s="75"/>
      <c r="J78" s="75"/>
      <c r="K78" s="75"/>
      <c r="L78" s="75"/>
      <c r="M78" s="75"/>
      <c r="N78" s="75"/>
      <c r="O78" s="75"/>
      <c r="P78" s="75"/>
      <c r="Q78" s="88" t="s">
        <v>262</v>
      </c>
      <c r="R78" s="169">
        <f>49.7*0.4*0.25</f>
        <v>4.97</v>
      </c>
    </row>
    <row r="79" hidden="1" spans="1:18">
      <c r="A79" s="158"/>
      <c r="B79" s="51"/>
      <c r="C79" s="52"/>
      <c r="D79" s="53"/>
      <c r="E79" s="53"/>
      <c r="F79" s="53"/>
      <c r="G79" s="52"/>
      <c r="H79" s="54"/>
      <c r="I79" s="75"/>
      <c r="J79" s="75"/>
      <c r="K79" s="75"/>
      <c r="L79" s="75"/>
      <c r="M79" s="75"/>
      <c r="N79" s="75"/>
      <c r="O79" s="75"/>
      <c r="P79" s="75"/>
      <c r="Q79" s="88" t="s">
        <v>263</v>
      </c>
      <c r="R79" s="170">
        <f>R77/R78</f>
        <v>66.1407847082495</v>
      </c>
    </row>
    <row r="80" ht="15.15" spans="1:18">
      <c r="A80" s="158"/>
      <c r="B80" s="51"/>
      <c r="C80" s="52"/>
      <c r="D80" s="53"/>
      <c r="E80" s="53"/>
      <c r="F80" s="53"/>
      <c r="G80" s="52"/>
      <c r="H80" s="54"/>
      <c r="I80" s="75"/>
      <c r="J80" s="75"/>
      <c r="K80" s="75"/>
      <c r="L80" s="75"/>
      <c r="M80" s="75"/>
      <c r="N80" s="75"/>
      <c r="O80" s="75"/>
      <c r="P80" s="75"/>
      <c r="Q80" s="88"/>
      <c r="R80" s="171"/>
    </row>
    <row r="81" s="1" customFormat="1" ht="21" customHeight="1" spans="1:18">
      <c r="A81" s="116" t="s">
        <v>235</v>
      </c>
      <c r="B81" s="17" t="s">
        <v>236</v>
      </c>
      <c r="C81" s="18" t="s">
        <v>237</v>
      </c>
      <c r="D81" s="17" t="s">
        <v>238</v>
      </c>
      <c r="E81" s="17"/>
      <c r="F81" s="17" t="s">
        <v>239</v>
      </c>
      <c r="G81" s="19" t="s">
        <v>240</v>
      </c>
      <c r="H81" s="20" t="s">
        <v>241</v>
      </c>
      <c r="I81" s="63" t="s">
        <v>242</v>
      </c>
      <c r="J81" s="64"/>
      <c r="K81" s="64"/>
      <c r="L81" s="64"/>
      <c r="M81" s="64"/>
      <c r="N81" s="64"/>
      <c r="O81" s="64"/>
      <c r="P81" s="64"/>
      <c r="Q81" s="64"/>
      <c r="R81" s="139"/>
    </row>
    <row r="82" s="1" customFormat="1" ht="15.75" customHeight="1" spans="1:18">
      <c r="A82" s="105"/>
      <c r="B82" s="22"/>
      <c r="C82" s="23"/>
      <c r="D82" s="22"/>
      <c r="E82" s="22"/>
      <c r="F82" s="22"/>
      <c r="G82" s="24"/>
      <c r="H82" s="25"/>
      <c r="I82" s="65" t="s">
        <v>243</v>
      </c>
      <c r="J82" s="65" t="s">
        <v>244</v>
      </c>
      <c r="K82" s="65" t="s">
        <v>245</v>
      </c>
      <c r="L82" s="65" t="s">
        <v>246</v>
      </c>
      <c r="M82" s="65" t="s">
        <v>247</v>
      </c>
      <c r="N82" s="65" t="s">
        <v>248</v>
      </c>
      <c r="O82" s="65" t="s">
        <v>249</v>
      </c>
      <c r="P82" s="65" t="s">
        <v>250</v>
      </c>
      <c r="Q82" s="65" t="s">
        <v>251</v>
      </c>
      <c r="R82" s="131" t="s">
        <v>252</v>
      </c>
    </row>
    <row r="83" s="2" customFormat="1" ht="14.25" customHeight="1" spans="1:18">
      <c r="A83" s="154" t="s">
        <v>253</v>
      </c>
      <c r="B83" s="27"/>
      <c r="C83" s="27"/>
      <c r="D83" s="27"/>
      <c r="E83" s="27"/>
      <c r="F83" s="27"/>
      <c r="G83" s="27"/>
      <c r="H83" s="28"/>
      <c r="I83" s="66" t="str">
        <f>IF(E83=6,(G83*H83*0.222)," ")</f>
        <v> </v>
      </c>
      <c r="J83" s="66" t="str">
        <f>IF(E83=8,(H83*G83*0.395)," ")</f>
        <v> </v>
      </c>
      <c r="K83" s="66" t="str">
        <f>IF(E83=10,(G83*H83*0.617)," ")</f>
        <v> </v>
      </c>
      <c r="L83" s="66" t="str">
        <f>IF(E83=12,(H83*G83*0.888)," ")</f>
        <v> </v>
      </c>
      <c r="M83" s="66" t="str">
        <f>IF(E83=14,(H83*G83*1.208)," ")</f>
        <v> </v>
      </c>
      <c r="N83" s="66" t="str">
        <f>IF(E83=16,(H83*G83*1.578)," ")</f>
        <v> </v>
      </c>
      <c r="O83" s="66" t="str">
        <f>IF(E83=20,(H83*G83*2.466)," ")</f>
        <v> </v>
      </c>
      <c r="P83" s="66" t="str">
        <f>IF(E83=25,(H83*G83*3.854)," ")</f>
        <v> </v>
      </c>
      <c r="Q83" s="66" t="str">
        <f>IF(E83=32,(H83*G83*6.314)," ")</f>
        <v> </v>
      </c>
      <c r="R83" s="132" t="str">
        <f>IF(E83=40,(H83*G83*9.866)," ")</f>
        <v> </v>
      </c>
    </row>
    <row r="84" s="2" customFormat="1" ht="12" customHeight="1" spans="1:18">
      <c r="A84" s="155" t="s">
        <v>282</v>
      </c>
      <c r="B84" s="30"/>
      <c r="C84" s="31"/>
      <c r="D84" s="32"/>
      <c r="E84" s="32"/>
      <c r="F84" s="33"/>
      <c r="G84" s="33"/>
      <c r="H84" s="34"/>
      <c r="I84" s="66" t="str">
        <f t="shared" ref="I84:I89" si="62">IF(E84=6,(G84*H84*0.222)," ")</f>
        <v> </v>
      </c>
      <c r="J84" s="66" t="str">
        <f t="shared" ref="J84:J89" si="63">IF(E84=8,(H84*G84*0.395)," ")</f>
        <v> </v>
      </c>
      <c r="K84" s="66" t="str">
        <f t="shared" ref="K84:K89" si="64">IF(E84=10,(G84*H84*0.617)," ")</f>
        <v> </v>
      </c>
      <c r="L84" s="66" t="str">
        <f t="shared" ref="L84:L89" si="65">IF(E84=12,(H84*G84*0.888)," ")</f>
        <v> </v>
      </c>
      <c r="M84" s="66" t="str">
        <f t="shared" ref="M84:M89" si="66">IF(E84=14,(H84*G84*1.208)," ")</f>
        <v> </v>
      </c>
      <c r="N84" s="66" t="str">
        <f t="shared" ref="N84:N89" si="67">IF(E84=16,(H84*G84*1.578)," ")</f>
        <v> </v>
      </c>
      <c r="O84" s="66" t="str">
        <f t="shared" ref="O84:O89" si="68">IF(E84=20,(H84*G84*2.466)," ")</f>
        <v> </v>
      </c>
      <c r="P84" s="66" t="str">
        <f t="shared" ref="P84:P89" si="69">IF(E84=25,(H84*G84*3.854)," ")</f>
        <v> </v>
      </c>
      <c r="Q84" s="66" t="str">
        <f t="shared" ref="Q84:Q89" si="70">IF(E84=32,(H84*G84*6.314)," ")</f>
        <v> </v>
      </c>
      <c r="R84" s="132" t="str">
        <f t="shared" ref="R84:R89" si="71">IF(E84=40,(H84*G84*9.866)," ")</f>
        <v> </v>
      </c>
    </row>
    <row r="85" s="2" customFormat="1" ht="12" customHeight="1" spans="1:18">
      <c r="A85" s="156" t="s">
        <v>283</v>
      </c>
      <c r="B85" s="36"/>
      <c r="C85" s="33">
        <v>3</v>
      </c>
      <c r="D85" s="32" t="s">
        <v>256</v>
      </c>
      <c r="E85" s="32">
        <v>8</v>
      </c>
      <c r="F85" s="33">
        <v>4</v>
      </c>
      <c r="G85" s="33">
        <f t="shared" ref="G85:G87" si="72">F85*C85</f>
        <v>12</v>
      </c>
      <c r="H85" s="34">
        <f>6.9-0.05+0.2*2+0.2*2</f>
        <v>7.65</v>
      </c>
      <c r="I85" s="66" t="str">
        <f t="shared" si="62"/>
        <v> </v>
      </c>
      <c r="J85" s="66">
        <f t="shared" si="63"/>
        <v>36.261</v>
      </c>
      <c r="K85" s="66" t="str">
        <f t="shared" si="64"/>
        <v> </v>
      </c>
      <c r="L85" s="66" t="str">
        <f t="shared" si="65"/>
        <v> </v>
      </c>
      <c r="M85" s="66" t="str">
        <f t="shared" si="66"/>
        <v> </v>
      </c>
      <c r="N85" s="66" t="str">
        <f t="shared" si="67"/>
        <v> </v>
      </c>
      <c r="O85" s="66" t="str">
        <f t="shared" si="68"/>
        <v> </v>
      </c>
      <c r="P85" s="66" t="str">
        <f t="shared" si="69"/>
        <v> </v>
      </c>
      <c r="Q85" s="66" t="str">
        <f t="shared" si="70"/>
        <v> </v>
      </c>
      <c r="R85" s="132" t="str">
        <f t="shared" si="71"/>
        <v> </v>
      </c>
    </row>
    <row r="86" s="2" customFormat="1" ht="12" customHeight="1" spans="1:18">
      <c r="A86" s="156" t="s">
        <v>284</v>
      </c>
      <c r="B86" s="36"/>
      <c r="C86" s="33">
        <v>3</v>
      </c>
      <c r="D86" s="32" t="s">
        <v>256</v>
      </c>
      <c r="E86" s="32">
        <v>12</v>
      </c>
      <c r="F86" s="33">
        <v>4</v>
      </c>
      <c r="G86" s="33">
        <f t="shared" si="72"/>
        <v>12</v>
      </c>
      <c r="H86" s="34">
        <f>6.9-0.05+0.2*2+0.2*2</f>
        <v>7.65</v>
      </c>
      <c r="I86" s="66" t="str">
        <f t="shared" si="62"/>
        <v> </v>
      </c>
      <c r="J86" s="66" t="str">
        <f t="shared" si="63"/>
        <v> </v>
      </c>
      <c r="K86" s="66" t="str">
        <f t="shared" si="64"/>
        <v> </v>
      </c>
      <c r="L86" s="66">
        <f t="shared" si="65"/>
        <v>81.5184</v>
      </c>
      <c r="M86" s="66" t="str">
        <f t="shared" si="66"/>
        <v> </v>
      </c>
      <c r="N86" s="66" t="str">
        <f t="shared" si="67"/>
        <v> </v>
      </c>
      <c r="O86" s="66" t="str">
        <f t="shared" si="68"/>
        <v> </v>
      </c>
      <c r="P86" s="66" t="str">
        <f t="shared" si="69"/>
        <v> </v>
      </c>
      <c r="Q86" s="66" t="str">
        <f t="shared" si="70"/>
        <v> </v>
      </c>
      <c r="R86" s="132" t="str">
        <f t="shared" si="71"/>
        <v> </v>
      </c>
    </row>
    <row r="87" s="2" customFormat="1" ht="12" customHeight="1" spans="1:18">
      <c r="A87" s="156" t="s">
        <v>281</v>
      </c>
      <c r="B87" s="33"/>
      <c r="C87" s="33">
        <v>36</v>
      </c>
      <c r="D87" s="32" t="s">
        <v>256</v>
      </c>
      <c r="E87" s="32">
        <v>6</v>
      </c>
      <c r="F87" s="33">
        <v>4</v>
      </c>
      <c r="G87" s="33">
        <f t="shared" si="72"/>
        <v>144</v>
      </c>
      <c r="H87" s="34">
        <f>0.35*3+0.2*2+10*0.006*2</f>
        <v>1.57</v>
      </c>
      <c r="I87" s="66">
        <f t="shared" si="62"/>
        <v>50.18976</v>
      </c>
      <c r="J87" s="66" t="str">
        <f t="shared" si="63"/>
        <v> </v>
      </c>
      <c r="K87" s="66" t="str">
        <f t="shared" si="64"/>
        <v> </v>
      </c>
      <c r="L87" s="66" t="str">
        <f t="shared" si="65"/>
        <v> </v>
      </c>
      <c r="M87" s="66" t="str">
        <f t="shared" si="66"/>
        <v> </v>
      </c>
      <c r="N87" s="66" t="str">
        <f t="shared" si="67"/>
        <v> </v>
      </c>
      <c r="O87" s="66" t="str">
        <f t="shared" si="68"/>
        <v> </v>
      </c>
      <c r="P87" s="66" t="str">
        <f t="shared" si="69"/>
        <v> </v>
      </c>
      <c r="Q87" s="66" t="str">
        <f t="shared" si="70"/>
        <v> </v>
      </c>
      <c r="R87" s="132" t="str">
        <f t="shared" si="71"/>
        <v> </v>
      </c>
    </row>
    <row r="88" s="2" customFormat="1" ht="12" customHeight="1" spans="1:18">
      <c r="A88" s="156"/>
      <c r="B88" s="36"/>
      <c r="C88" s="33"/>
      <c r="D88" s="32"/>
      <c r="E88" s="32"/>
      <c r="F88" s="33"/>
      <c r="G88" s="33"/>
      <c r="H88" s="34"/>
      <c r="I88" s="66" t="str">
        <f t="shared" si="62"/>
        <v> </v>
      </c>
      <c r="J88" s="66" t="str">
        <f t="shared" si="63"/>
        <v> </v>
      </c>
      <c r="K88" s="66" t="str">
        <f t="shared" si="64"/>
        <v> </v>
      </c>
      <c r="L88" s="66" t="str">
        <f t="shared" si="65"/>
        <v> </v>
      </c>
      <c r="M88" s="66" t="str">
        <f t="shared" si="66"/>
        <v> </v>
      </c>
      <c r="N88" s="66" t="str">
        <f t="shared" si="67"/>
        <v> </v>
      </c>
      <c r="O88" s="66" t="str">
        <f t="shared" si="68"/>
        <v> </v>
      </c>
      <c r="P88" s="66" t="str">
        <f t="shared" si="69"/>
        <v> </v>
      </c>
      <c r="Q88" s="66" t="str">
        <f t="shared" si="70"/>
        <v> </v>
      </c>
      <c r="R88" s="132" t="str">
        <f t="shared" si="71"/>
        <v> </v>
      </c>
    </row>
    <row r="89" s="2" customFormat="1" ht="12" customHeight="1" spans="1:18">
      <c r="A89" s="157"/>
      <c r="B89" s="38"/>
      <c r="C89" s="38"/>
      <c r="D89" s="39"/>
      <c r="E89" s="39"/>
      <c r="F89" s="38"/>
      <c r="G89" s="38"/>
      <c r="H89" s="40"/>
      <c r="I89" s="66" t="str">
        <f t="shared" si="62"/>
        <v> </v>
      </c>
      <c r="J89" s="66" t="str">
        <f t="shared" si="63"/>
        <v> </v>
      </c>
      <c r="K89" s="66" t="str">
        <f t="shared" si="64"/>
        <v> </v>
      </c>
      <c r="L89" s="66" t="str">
        <f t="shared" si="65"/>
        <v> </v>
      </c>
      <c r="M89" s="66" t="str">
        <f t="shared" si="66"/>
        <v> </v>
      </c>
      <c r="N89" s="66" t="str">
        <f t="shared" si="67"/>
        <v> </v>
      </c>
      <c r="O89" s="66" t="str">
        <f t="shared" si="68"/>
        <v> </v>
      </c>
      <c r="P89" s="66" t="str">
        <f t="shared" si="69"/>
        <v> </v>
      </c>
      <c r="Q89" s="66" t="str">
        <f t="shared" si="70"/>
        <v> </v>
      </c>
      <c r="R89" s="132" t="str">
        <f t="shared" si="71"/>
        <v> </v>
      </c>
    </row>
    <row r="90" ht="17.25" customHeight="1" spans="1:21">
      <c r="A90" s="112" t="s">
        <v>259</v>
      </c>
      <c r="B90" s="42"/>
      <c r="C90" s="42"/>
      <c r="D90" s="42"/>
      <c r="E90" s="42"/>
      <c r="F90" s="42"/>
      <c r="G90" s="42"/>
      <c r="H90" s="43"/>
      <c r="I90" s="67">
        <v>0.222</v>
      </c>
      <c r="J90" s="68">
        <v>0.397</v>
      </c>
      <c r="K90" s="69">
        <v>0.617</v>
      </c>
      <c r="L90" s="69">
        <v>0.888</v>
      </c>
      <c r="M90" s="69">
        <v>1.208</v>
      </c>
      <c r="N90" s="68">
        <v>1.576</v>
      </c>
      <c r="O90" s="68">
        <v>2.47</v>
      </c>
      <c r="P90" s="69">
        <v>3.854</v>
      </c>
      <c r="Q90" s="69">
        <v>6.313</v>
      </c>
      <c r="R90" s="133">
        <v>9.866</v>
      </c>
      <c r="T90" s="83"/>
      <c r="U90" s="83"/>
    </row>
    <row r="91" ht="15" customHeight="1" spans="1:21">
      <c r="A91" s="113" t="s">
        <v>260</v>
      </c>
      <c r="B91" s="45"/>
      <c r="C91" s="45"/>
      <c r="D91" s="45"/>
      <c r="E91" s="45"/>
      <c r="F91" s="45"/>
      <c r="G91" s="45"/>
      <c r="H91" s="46"/>
      <c r="I91" s="70">
        <f>SUM(I83:I89)</f>
        <v>50.18976</v>
      </c>
      <c r="J91" s="70">
        <f t="shared" ref="J91:R91" si="73">SUM(J83:J89)</f>
        <v>36.261</v>
      </c>
      <c r="K91" s="70">
        <f t="shared" si="73"/>
        <v>0</v>
      </c>
      <c r="L91" s="70">
        <f t="shared" si="73"/>
        <v>81.5184</v>
      </c>
      <c r="M91" s="70">
        <f t="shared" si="73"/>
        <v>0</v>
      </c>
      <c r="N91" s="70">
        <f t="shared" si="73"/>
        <v>0</v>
      </c>
      <c r="O91" s="70">
        <f t="shared" si="73"/>
        <v>0</v>
      </c>
      <c r="P91" s="70">
        <f t="shared" si="73"/>
        <v>0</v>
      </c>
      <c r="Q91" s="70">
        <f t="shared" si="73"/>
        <v>0</v>
      </c>
      <c r="R91" s="134">
        <f t="shared" si="73"/>
        <v>0</v>
      </c>
      <c r="T91" s="83"/>
      <c r="U91" s="83"/>
    </row>
    <row r="92" s="3" customFormat="1" ht="16.5" customHeight="1" spans="1:21">
      <c r="A92" s="114" t="s">
        <v>261</v>
      </c>
      <c r="B92" s="48"/>
      <c r="C92" s="48"/>
      <c r="D92" s="48"/>
      <c r="E92" s="48"/>
      <c r="F92" s="48"/>
      <c r="G92" s="48"/>
      <c r="H92" s="49"/>
      <c r="I92" s="92"/>
      <c r="J92" s="93"/>
      <c r="K92" s="93"/>
      <c r="L92" s="93"/>
      <c r="M92" s="93"/>
      <c r="N92" s="93"/>
      <c r="O92" s="93"/>
      <c r="P92" s="92"/>
      <c r="Q92" s="92"/>
      <c r="R92" s="145">
        <f>(SUM(I91:R91))</f>
        <v>167.96916</v>
      </c>
      <c r="T92" s="86"/>
      <c r="U92" s="86"/>
    </row>
    <row r="93" ht="15.15" spans="1:18">
      <c r="A93" s="159" t="s">
        <v>268</v>
      </c>
      <c r="B93" s="173"/>
      <c r="C93" s="173"/>
      <c r="D93" s="173"/>
      <c r="E93" s="173"/>
      <c r="F93" s="173"/>
      <c r="G93" s="173"/>
      <c r="H93" s="188"/>
      <c r="I93" s="189">
        <f>+R92+R77+R63+R47+R31+R15</f>
        <v>955.90146</v>
      </c>
      <c r="J93" s="190"/>
      <c r="K93" s="190"/>
      <c r="L93" s="190"/>
      <c r="M93" s="190"/>
      <c r="N93" s="190"/>
      <c r="O93" s="190"/>
      <c r="P93" s="190"/>
      <c r="Q93" s="190"/>
      <c r="R93" s="191"/>
    </row>
    <row r="94" ht="15.15"/>
  </sheetData>
  <mergeCells count="69">
    <mergeCell ref="L2:M2"/>
    <mergeCell ref="I3:R3"/>
    <mergeCell ref="A13:H13"/>
    <mergeCell ref="A14:H14"/>
    <mergeCell ref="A15:H15"/>
    <mergeCell ref="I19:R19"/>
    <mergeCell ref="A29:H29"/>
    <mergeCell ref="A30:H30"/>
    <mergeCell ref="A31:H31"/>
    <mergeCell ref="I35:R35"/>
    <mergeCell ref="A45:H45"/>
    <mergeCell ref="A46:H46"/>
    <mergeCell ref="A47:H47"/>
    <mergeCell ref="I51:R51"/>
    <mergeCell ref="A61:H61"/>
    <mergeCell ref="A62:H62"/>
    <mergeCell ref="A63:H63"/>
    <mergeCell ref="I67:R67"/>
    <mergeCell ref="A75:H75"/>
    <mergeCell ref="A76:H76"/>
    <mergeCell ref="A77:H77"/>
    <mergeCell ref="I81:R81"/>
    <mergeCell ref="A90:H90"/>
    <mergeCell ref="A91:H91"/>
    <mergeCell ref="A92:H92"/>
    <mergeCell ref="A93:H93"/>
    <mergeCell ref="I93:R93"/>
    <mergeCell ref="A3:A4"/>
    <mergeCell ref="A19:A20"/>
    <mergeCell ref="A35:A36"/>
    <mergeCell ref="A51:A52"/>
    <mergeCell ref="A67:A68"/>
    <mergeCell ref="A81:A82"/>
    <mergeCell ref="B3:B4"/>
    <mergeCell ref="B19:B20"/>
    <mergeCell ref="B35:B36"/>
    <mergeCell ref="B51:B52"/>
    <mergeCell ref="B67:B68"/>
    <mergeCell ref="B81:B82"/>
    <mergeCell ref="C3:C4"/>
    <mergeCell ref="C19:C20"/>
    <mergeCell ref="C35:C36"/>
    <mergeCell ref="C51:C52"/>
    <mergeCell ref="C67:C68"/>
    <mergeCell ref="C81:C82"/>
    <mergeCell ref="F3:F4"/>
    <mergeCell ref="F19:F20"/>
    <mergeCell ref="F35:F36"/>
    <mergeCell ref="F51:F52"/>
    <mergeCell ref="F67:F68"/>
    <mergeCell ref="F81:F82"/>
    <mergeCell ref="G3:G4"/>
    <mergeCell ref="G19:G20"/>
    <mergeCell ref="G35:G36"/>
    <mergeCell ref="G51:G52"/>
    <mergeCell ref="G67:G68"/>
    <mergeCell ref="G81:G82"/>
    <mergeCell ref="H3:H4"/>
    <mergeCell ref="H19:H20"/>
    <mergeCell ref="H35:H36"/>
    <mergeCell ref="H51:H52"/>
    <mergeCell ref="H67:H68"/>
    <mergeCell ref="H81:H82"/>
    <mergeCell ref="D3:E4"/>
    <mergeCell ref="D35:E36"/>
    <mergeCell ref="D19:E20"/>
    <mergeCell ref="D51:E52"/>
    <mergeCell ref="D81:E82"/>
    <mergeCell ref="D67:E68"/>
  </mergeCells>
  <printOptions horizontalCentered="1" verticalCentered="1"/>
  <pageMargins left="0" right="0" top="0" bottom="0.15748031496063" header="0.31496062992126" footer="0.31496062992126"/>
  <pageSetup paperSize="9" scale="5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72"/>
  <sheetViews>
    <sheetView view="pageBreakPreview" zoomScale="85" zoomScaleNormal="85" workbookViewId="0">
      <selection activeCell="R71" sqref="A1:R71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0" width="12.1388888888889" style="8" customWidth="1"/>
    <col min="11" max="11" width="11.4259259259259" style="8" customWidth="1"/>
    <col min="12" max="12" width="15.712962962963" style="8" customWidth="1"/>
    <col min="13" max="13" width="12.1388888888889" style="8" customWidth="1"/>
    <col min="14" max="14" width="13.712962962963" style="8" customWidth="1"/>
    <col min="15" max="15" width="13.4259259259259" style="8" customWidth="1"/>
    <col min="16" max="16" width="12" style="8" customWidth="1"/>
    <col min="17" max="17" width="13.4259259259259" customWidth="1"/>
    <col min="18" max="18" width="14.138888888888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9" t="s">
        <v>231</v>
      </c>
      <c r="B1" s="10"/>
      <c r="C1" s="11"/>
      <c r="D1" s="11"/>
      <c r="E1" s="11"/>
      <c r="F1" s="11"/>
      <c r="G1" s="11"/>
      <c r="H1" s="12"/>
      <c r="I1" s="55"/>
      <c r="J1" s="55"/>
      <c r="K1" s="55"/>
      <c r="L1" s="56" t="s">
        <v>232</v>
      </c>
      <c r="M1" s="56"/>
      <c r="N1" s="57"/>
      <c r="O1" s="57" t="s">
        <v>285</v>
      </c>
      <c r="P1" s="58"/>
      <c r="Q1" s="76"/>
      <c r="R1" s="77"/>
    </row>
    <row r="2" ht="12.75" customHeight="1" spans="1:18">
      <c r="A2" s="13"/>
      <c r="B2" s="14"/>
      <c r="C2" s="15"/>
      <c r="D2" s="15"/>
      <c r="E2" s="15"/>
      <c r="F2" s="15"/>
      <c r="G2" s="15"/>
      <c r="I2" s="59"/>
      <c r="J2" s="59"/>
      <c r="K2" s="59"/>
      <c r="L2" s="175" t="s">
        <v>286</v>
      </c>
      <c r="M2" s="175"/>
      <c r="N2" s="61"/>
      <c r="O2" s="61"/>
      <c r="P2" s="62"/>
      <c r="Q2" s="61"/>
      <c r="R2" s="78"/>
    </row>
    <row r="3" s="1" customFormat="1" ht="21" customHeight="1" spans="1:18">
      <c r="A3" s="100" t="s">
        <v>235</v>
      </c>
      <c r="B3" s="101" t="s">
        <v>236</v>
      </c>
      <c r="C3" s="102" t="s">
        <v>237</v>
      </c>
      <c r="D3" s="101" t="s">
        <v>238</v>
      </c>
      <c r="E3" s="101"/>
      <c r="F3" s="101" t="s">
        <v>239</v>
      </c>
      <c r="G3" s="103" t="s">
        <v>240</v>
      </c>
      <c r="H3" s="104" t="s">
        <v>241</v>
      </c>
      <c r="I3" s="125" t="s">
        <v>242</v>
      </c>
      <c r="J3" s="126"/>
      <c r="K3" s="126"/>
      <c r="L3" s="126"/>
      <c r="M3" s="126"/>
      <c r="N3" s="126"/>
      <c r="O3" s="126"/>
      <c r="P3" s="126"/>
      <c r="Q3" s="126"/>
      <c r="R3" s="130"/>
    </row>
    <row r="4" s="1" customFormat="1" ht="15.75" customHeight="1" spans="1:18">
      <c r="A4" s="105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131" t="s">
        <v>252</v>
      </c>
    </row>
    <row r="5" s="2" customFormat="1" ht="14.25" customHeight="1" spans="1:18">
      <c r="A5" s="154" t="s">
        <v>253</v>
      </c>
      <c r="B5" s="27"/>
      <c r="C5" s="27"/>
      <c r="D5" s="27"/>
      <c r="E5" s="27"/>
      <c r="F5" s="27"/>
      <c r="G5" s="27"/>
      <c r="H5" s="2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132" t="str">
        <f>IF(E5=40,(H5*G5*9.866)," ")</f>
        <v> </v>
      </c>
    </row>
    <row r="6" s="2" customFormat="1" ht="12" customHeight="1" spans="1:18">
      <c r="A6" s="155" t="s">
        <v>287</v>
      </c>
      <c r="B6" s="30"/>
      <c r="C6" s="31"/>
      <c r="D6" s="32"/>
      <c r="E6" s="32"/>
      <c r="F6" s="33"/>
      <c r="G6" s="33"/>
      <c r="H6" s="34"/>
      <c r="I6" s="66" t="str">
        <f t="shared" ref="I6:I11" si="0">IF(E6=6,(G6*H6*0.222)," ")</f>
        <v> </v>
      </c>
      <c r="J6" s="66" t="str">
        <f t="shared" ref="J6:J11" si="1">IF(E6=8,(H6*G6*0.395)," ")</f>
        <v> </v>
      </c>
      <c r="K6" s="66" t="str">
        <f t="shared" ref="K6:K11" si="2">IF(E6=10,(G6*H6*0.617)," ")</f>
        <v> </v>
      </c>
      <c r="L6" s="66" t="str">
        <f t="shared" ref="L6:L11" si="3">IF(E6=12,(H6*G6*0.888)," ")</f>
        <v> </v>
      </c>
      <c r="M6" s="66" t="str">
        <f t="shared" ref="M6:M11" si="4">IF(E6=14,(H6*G6*1.208)," ")</f>
        <v> </v>
      </c>
      <c r="N6" s="66" t="str">
        <f t="shared" ref="N6:N11" si="5">IF(E6=16,(H6*G6*1.578)," ")</f>
        <v> </v>
      </c>
      <c r="O6" s="66" t="str">
        <f t="shared" ref="O6:O11" si="6">IF(E6=20,(H6*G6*2.466)," ")</f>
        <v> </v>
      </c>
      <c r="P6" s="66" t="str">
        <f t="shared" ref="P6:P11" si="7">IF(E6=25,(H6*G6*3.854)," ")</f>
        <v> </v>
      </c>
      <c r="Q6" s="66" t="str">
        <f t="shared" ref="Q6:Q11" si="8">IF(E6=32,(H6*G6*6.314)," ")</f>
        <v> </v>
      </c>
      <c r="R6" s="132" t="str">
        <f t="shared" ref="R6:R11" si="9">IF(E6=40,(H6*G6*9.866)," ")</f>
        <v> </v>
      </c>
    </row>
    <row r="7" s="2" customFormat="1" ht="12" customHeight="1" spans="1:18">
      <c r="A7" s="156" t="s">
        <v>255</v>
      </c>
      <c r="B7" s="36"/>
      <c r="C7" s="33">
        <v>5</v>
      </c>
      <c r="D7" s="32" t="s">
        <v>256</v>
      </c>
      <c r="E7" s="32">
        <v>14</v>
      </c>
      <c r="F7" s="33">
        <v>3</v>
      </c>
      <c r="G7" s="33">
        <f t="shared" ref="G7:G9" si="10">F7*C7</f>
        <v>15</v>
      </c>
      <c r="H7" s="34">
        <f>3.4+50*0.014</f>
        <v>4.1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 t="str">
        <f t="shared" si="3"/>
        <v> </v>
      </c>
      <c r="M7" s="66">
        <f t="shared" si="4"/>
        <v>74.292</v>
      </c>
      <c r="N7" s="66" t="str">
        <f t="shared" si="5"/>
        <v> 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132" t="str">
        <f t="shared" si="9"/>
        <v> </v>
      </c>
    </row>
    <row r="8" s="2" customFormat="1" ht="12" customHeight="1" spans="1:18">
      <c r="A8" s="156" t="s">
        <v>257</v>
      </c>
      <c r="B8" s="33"/>
      <c r="C8" s="33">
        <v>36</v>
      </c>
      <c r="D8" s="32" t="s">
        <v>256</v>
      </c>
      <c r="E8" s="32">
        <v>8</v>
      </c>
      <c r="F8" s="33">
        <v>3</v>
      </c>
      <c r="G8" s="33">
        <f t="shared" si="10"/>
        <v>108</v>
      </c>
      <c r="H8" s="34">
        <f>3.14*0.45+10*0.008</f>
        <v>1.493</v>
      </c>
      <c r="I8" s="66" t="str">
        <f t="shared" si="0"/>
        <v> </v>
      </c>
      <c r="J8" s="66">
        <f t="shared" si="1"/>
        <v>63.69138</v>
      </c>
      <c r="K8" s="66" t="str">
        <f t="shared" si="2"/>
        <v> </v>
      </c>
      <c r="L8" s="66" t="str">
        <f t="shared" si="3"/>
        <v> </v>
      </c>
      <c r="M8" s="66" t="str">
        <f t="shared" si="4"/>
        <v> </v>
      </c>
      <c r="N8" s="66" t="str">
        <f t="shared" si="5"/>
        <v> 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132" t="str">
        <f t="shared" si="9"/>
        <v> </v>
      </c>
    </row>
    <row r="9" s="2" customFormat="1" ht="12" customHeight="1" spans="1:18">
      <c r="A9" s="156" t="s">
        <v>258</v>
      </c>
      <c r="B9" s="36"/>
      <c r="C9" s="33">
        <v>36</v>
      </c>
      <c r="D9" s="32" t="s">
        <v>256</v>
      </c>
      <c r="E9" s="32">
        <v>8</v>
      </c>
      <c r="F9" s="33">
        <v>6</v>
      </c>
      <c r="G9" s="33">
        <f t="shared" si="10"/>
        <v>216</v>
      </c>
      <c r="H9" s="34">
        <f>0.45+10*0.008</f>
        <v>0.53</v>
      </c>
      <c r="I9" s="66" t="str">
        <f t="shared" si="0"/>
        <v> </v>
      </c>
      <c r="J9" s="66">
        <f t="shared" si="1"/>
        <v>45.2196</v>
      </c>
      <c r="K9" s="66" t="str">
        <f t="shared" si="2"/>
        <v> 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132" t="str">
        <f t="shared" si="9"/>
        <v> </v>
      </c>
    </row>
    <row r="10" s="2" customFormat="1" ht="12" customHeight="1" spans="1:20">
      <c r="A10" s="156"/>
      <c r="B10" s="36"/>
      <c r="C10" s="33"/>
      <c r="D10" s="32"/>
      <c r="E10" s="32"/>
      <c r="F10" s="33"/>
      <c r="G10" s="33"/>
      <c r="H10" s="34"/>
      <c r="I10" s="66" t="str">
        <f t="shared" si="0"/>
        <v> </v>
      </c>
      <c r="J10" s="66" t="str">
        <f t="shared" si="1"/>
        <v> </v>
      </c>
      <c r="K10" s="66" t="str">
        <f t="shared" si="2"/>
        <v> </v>
      </c>
      <c r="L10" s="66" t="str">
        <f t="shared" si="3"/>
        <v> 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132" t="str">
        <f t="shared" si="9"/>
        <v> </v>
      </c>
      <c r="T10" s="2" t="s">
        <v>288</v>
      </c>
    </row>
    <row r="11" s="2" customFormat="1" ht="12" customHeight="1" spans="1:18">
      <c r="A11" s="157"/>
      <c r="B11" s="38"/>
      <c r="C11" s="38"/>
      <c r="D11" s="39"/>
      <c r="E11" s="39"/>
      <c r="F11" s="38"/>
      <c r="G11" s="38"/>
      <c r="H11" s="40"/>
      <c r="I11" s="66" t="str">
        <f t="shared" si="0"/>
        <v> 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132" t="str">
        <f t="shared" si="9"/>
        <v> </v>
      </c>
    </row>
    <row r="12" ht="17.25" customHeight="1" spans="1:21">
      <c r="A12" s="112" t="s">
        <v>259</v>
      </c>
      <c r="B12" s="42"/>
      <c r="C12" s="42"/>
      <c r="D12" s="42"/>
      <c r="E12" s="42"/>
      <c r="F12" s="42"/>
      <c r="G12" s="42"/>
      <c r="H12" s="43"/>
      <c r="I12" s="67">
        <v>0.222</v>
      </c>
      <c r="J12" s="68">
        <v>0.397</v>
      </c>
      <c r="K12" s="69">
        <v>0.617</v>
      </c>
      <c r="L12" s="69">
        <v>0.888</v>
      </c>
      <c r="M12" s="69">
        <v>1.208</v>
      </c>
      <c r="N12" s="68">
        <v>1.576</v>
      </c>
      <c r="O12" s="68">
        <v>2.47</v>
      </c>
      <c r="P12" s="69">
        <v>3.854</v>
      </c>
      <c r="Q12" s="69">
        <v>6.313</v>
      </c>
      <c r="R12" s="133">
        <v>9.866</v>
      </c>
      <c r="T12" s="176">
        <f>+R14+R28+R42+R56+R70+'Poteaux Etage'!R14+'Poteaux Etage'!R28+'Poteaux Etage'!R42+'Poteaux Etage'!R56+'Poutres RDC'!R15+'Poutres RDC'!R30+'Poutres RDC'!R45+'Poutres RDC'!R60+'Poutres RDC'!R73+'Poutres RDC'!R86+'Poutres RDC'!R104+'Poutres RDC'!R121+'Poutres RDC'!R138+'Poutres RDC'!R152+'Poutres ETAGE'!R15+'Poutres ETAGE'!R30+'Poutres ETAGE'!R45+'Poutres ETAGE'!R60+'Poutres ETAGE'!R73+'Poutres ETAGE'!R86+'Poutres ETAGE'!R104+'Poutres ETAGE'!R121+'Poutres ETAGE'!R138</f>
        <v>5183.34882</v>
      </c>
      <c r="U12" s="83"/>
    </row>
    <row r="13" ht="15" customHeight="1" spans="1:21">
      <c r="A13" s="113" t="s">
        <v>260</v>
      </c>
      <c r="B13" s="45"/>
      <c r="C13" s="45"/>
      <c r="D13" s="45"/>
      <c r="E13" s="45"/>
      <c r="F13" s="45"/>
      <c r="G13" s="45"/>
      <c r="H13" s="46"/>
      <c r="I13" s="70">
        <f>SUM(I5:I11)</f>
        <v>0</v>
      </c>
      <c r="J13" s="70">
        <f t="shared" ref="J13:R13" si="11">SUM(J5:J11)</f>
        <v>108.91098</v>
      </c>
      <c r="K13" s="70">
        <f t="shared" si="11"/>
        <v>0</v>
      </c>
      <c r="L13" s="70">
        <f t="shared" si="11"/>
        <v>0</v>
      </c>
      <c r="M13" s="70">
        <f t="shared" si="11"/>
        <v>74.292</v>
      </c>
      <c r="N13" s="70">
        <f t="shared" si="11"/>
        <v>0</v>
      </c>
      <c r="O13" s="70">
        <f t="shared" si="11"/>
        <v>0</v>
      </c>
      <c r="P13" s="70">
        <f t="shared" si="11"/>
        <v>0</v>
      </c>
      <c r="Q13" s="70">
        <f t="shared" si="11"/>
        <v>0</v>
      </c>
      <c r="R13" s="134">
        <f t="shared" si="11"/>
        <v>0</v>
      </c>
      <c r="T13" s="83"/>
      <c r="U13" s="83"/>
    </row>
    <row r="14" s="3" customFormat="1" ht="16.5" customHeight="1" spans="1:21">
      <c r="A14" s="114" t="s">
        <v>261</v>
      </c>
      <c r="B14" s="48"/>
      <c r="C14" s="48"/>
      <c r="D14" s="48"/>
      <c r="E14" s="48"/>
      <c r="F14" s="48"/>
      <c r="G14" s="48"/>
      <c r="H14" s="49"/>
      <c r="I14" s="71"/>
      <c r="J14" s="72"/>
      <c r="K14" s="72"/>
      <c r="L14" s="72"/>
      <c r="M14" s="72"/>
      <c r="N14" s="72"/>
      <c r="O14" s="72"/>
      <c r="P14" s="71"/>
      <c r="Q14" s="71"/>
      <c r="R14" s="135">
        <f>(SUM(I13:R13))</f>
        <v>183.20298</v>
      </c>
      <c r="T14" s="86"/>
      <c r="U14" s="86"/>
    </row>
    <row r="15" hidden="1" spans="1:18">
      <c r="A15" s="158"/>
      <c r="B15" s="51"/>
      <c r="C15" s="52"/>
      <c r="D15" s="53"/>
      <c r="E15" s="53"/>
      <c r="F15" s="53"/>
      <c r="G15" s="52"/>
      <c r="H15" s="54"/>
      <c r="I15" s="75"/>
      <c r="J15" s="75"/>
      <c r="K15" s="75"/>
      <c r="L15" s="75"/>
      <c r="M15" s="75"/>
      <c r="N15" s="75"/>
      <c r="O15" s="75"/>
      <c r="P15" s="75"/>
      <c r="Q15" s="88" t="s">
        <v>262</v>
      </c>
      <c r="R15" s="169">
        <f>0.19*3*3.4</f>
        <v>1.938</v>
      </c>
    </row>
    <row r="16" hidden="1" spans="1:18">
      <c r="A16" s="158"/>
      <c r="B16" s="51"/>
      <c r="C16" s="52"/>
      <c r="D16" s="53"/>
      <c r="E16" s="53"/>
      <c r="F16" s="53"/>
      <c r="G16" s="52"/>
      <c r="H16" s="54"/>
      <c r="I16" s="75"/>
      <c r="J16" s="75"/>
      <c r="K16" s="75"/>
      <c r="L16" s="75"/>
      <c r="M16" s="75"/>
      <c r="N16" s="75"/>
      <c r="O16" s="75"/>
      <c r="P16" s="75"/>
      <c r="Q16" s="88" t="s">
        <v>263</v>
      </c>
      <c r="R16" s="170">
        <f>R14/R15</f>
        <v>94.5319814241486</v>
      </c>
    </row>
    <row r="17" ht="15.15" spans="1:18">
      <c r="A17" s="158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/>
      <c r="P17" s="75"/>
      <c r="Q17" s="88"/>
      <c r="R17" s="171"/>
    </row>
    <row r="18" s="1" customFormat="1" ht="21" customHeight="1" spans="1:18">
      <c r="A18" s="116" t="s">
        <v>235</v>
      </c>
      <c r="B18" s="17" t="s">
        <v>236</v>
      </c>
      <c r="C18" s="18" t="s">
        <v>237</v>
      </c>
      <c r="D18" s="17" t="s">
        <v>238</v>
      </c>
      <c r="E18" s="17"/>
      <c r="F18" s="17" t="s">
        <v>239</v>
      </c>
      <c r="G18" s="19" t="s">
        <v>240</v>
      </c>
      <c r="H18" s="20" t="s">
        <v>241</v>
      </c>
      <c r="I18" s="63" t="s">
        <v>242</v>
      </c>
      <c r="J18" s="64"/>
      <c r="K18" s="64"/>
      <c r="L18" s="64"/>
      <c r="M18" s="64"/>
      <c r="N18" s="64"/>
      <c r="O18" s="64"/>
      <c r="P18" s="64"/>
      <c r="Q18" s="64"/>
      <c r="R18" s="139"/>
    </row>
    <row r="19" s="1" customFormat="1" ht="15.75" customHeight="1" spans="1:18">
      <c r="A19" s="105"/>
      <c r="B19" s="22"/>
      <c r="C19" s="23"/>
      <c r="D19" s="22"/>
      <c r="E19" s="22"/>
      <c r="F19" s="22"/>
      <c r="G19" s="24"/>
      <c r="H19" s="25"/>
      <c r="I19" s="65" t="s">
        <v>243</v>
      </c>
      <c r="J19" s="65" t="s">
        <v>244</v>
      </c>
      <c r="K19" s="65" t="s">
        <v>245</v>
      </c>
      <c r="L19" s="65" t="s">
        <v>246</v>
      </c>
      <c r="M19" s="65" t="s">
        <v>247</v>
      </c>
      <c r="N19" s="65" t="s">
        <v>248</v>
      </c>
      <c r="O19" s="65" t="s">
        <v>249</v>
      </c>
      <c r="P19" s="65" t="s">
        <v>250</v>
      </c>
      <c r="Q19" s="65" t="s">
        <v>251</v>
      </c>
      <c r="R19" s="131" t="s">
        <v>252</v>
      </c>
    </row>
    <row r="20" s="2" customFormat="1" ht="14.25" customHeight="1" spans="1:18">
      <c r="A20" s="154" t="s">
        <v>253</v>
      </c>
      <c r="B20" s="27"/>
      <c r="C20" s="27"/>
      <c r="D20" s="27"/>
      <c r="E20" s="27"/>
      <c r="F20" s="27"/>
      <c r="G20" s="27"/>
      <c r="H20" s="28"/>
      <c r="I20" s="66" t="str">
        <f>IF(E20=6,(G20*H20*0.222)," ")</f>
        <v> </v>
      </c>
      <c r="J20" s="66" t="str">
        <f>IF(E20=8,(H20*G20*0.395)," ")</f>
        <v> </v>
      </c>
      <c r="K20" s="66" t="str">
        <f>IF(E20=10,(G20*H20*0.617)," ")</f>
        <v> </v>
      </c>
      <c r="L20" s="66" t="str">
        <f>IF(E20=12,(H20*G20*0.888)," ")</f>
        <v> </v>
      </c>
      <c r="M20" s="66" t="str">
        <f>IF(E20=14,(H20*G20*1.208)," ")</f>
        <v> </v>
      </c>
      <c r="N20" s="66" t="str">
        <f>IF(E20=16,(H20*G20*1.578)," ")</f>
        <v> </v>
      </c>
      <c r="O20" s="66" t="str">
        <f>IF(E20=20,(H20*G20*2.466)," ")</f>
        <v> </v>
      </c>
      <c r="P20" s="66" t="str">
        <f>IF(E20=25,(H20*G20*3.854)," ")</f>
        <v> </v>
      </c>
      <c r="Q20" s="66" t="str">
        <f>IF(E20=32,(H20*G20*6.314)," ")</f>
        <v> </v>
      </c>
      <c r="R20" s="132" t="str">
        <f>IF(E20=40,(H20*G20*9.866)," ")</f>
        <v> </v>
      </c>
    </row>
    <row r="21" s="2" customFormat="1" ht="12" customHeight="1" spans="1:18">
      <c r="A21" s="155" t="s">
        <v>289</v>
      </c>
      <c r="B21" s="30"/>
      <c r="C21" s="31"/>
      <c r="D21" s="32"/>
      <c r="E21" s="32"/>
      <c r="F21" s="33"/>
      <c r="G21" s="33"/>
      <c r="H21" s="34"/>
      <c r="I21" s="66" t="str">
        <f t="shared" ref="I21:I25" si="12">IF(E21=6,(G21*H21*0.222)," ")</f>
        <v> </v>
      </c>
      <c r="J21" s="66" t="str">
        <f t="shared" ref="J21:J25" si="13">IF(E21=8,(H21*G21*0.395)," ")</f>
        <v> </v>
      </c>
      <c r="K21" s="66" t="str">
        <f t="shared" ref="K21:K25" si="14">IF(E21=10,(G21*H21*0.617)," ")</f>
        <v> </v>
      </c>
      <c r="L21" s="66" t="str">
        <f t="shared" ref="L21:L25" si="15">IF(E21=12,(H21*G21*0.888)," ")</f>
        <v> </v>
      </c>
      <c r="M21" s="66" t="str">
        <f t="shared" ref="M21:M25" si="16">IF(E21=14,(H21*G21*1.208)," ")</f>
        <v> </v>
      </c>
      <c r="N21" s="66" t="str">
        <f t="shared" ref="N21:N25" si="17">IF(E21=16,(H21*G21*1.578)," ")</f>
        <v> </v>
      </c>
      <c r="O21" s="66" t="str">
        <f t="shared" ref="O21:O25" si="18">IF(E21=20,(H21*G21*2.466)," ")</f>
        <v> </v>
      </c>
      <c r="P21" s="66" t="str">
        <f t="shared" ref="P21:P25" si="19">IF(E21=25,(H21*G21*3.854)," ")</f>
        <v> </v>
      </c>
      <c r="Q21" s="66" t="str">
        <f t="shared" ref="Q21:Q25" si="20">IF(E21=32,(H21*G21*6.314)," ")</f>
        <v> </v>
      </c>
      <c r="R21" s="132" t="str">
        <f t="shared" ref="R21:R25" si="21">IF(E21=40,(H21*G21*9.866)," ")</f>
        <v> </v>
      </c>
    </row>
    <row r="22" s="2" customFormat="1" ht="12" customHeight="1" spans="1:18">
      <c r="A22" s="156" t="s">
        <v>255</v>
      </c>
      <c r="B22" s="36"/>
      <c r="C22" s="33">
        <v>10</v>
      </c>
      <c r="D22" s="32" t="s">
        <v>256</v>
      </c>
      <c r="E22" s="32">
        <v>14</v>
      </c>
      <c r="F22" s="33">
        <v>2</v>
      </c>
      <c r="G22" s="33">
        <f t="shared" ref="G22:G23" si="22">F22*C22</f>
        <v>20</v>
      </c>
      <c r="H22" s="34">
        <f>3.41+50*0.014</f>
        <v>4.11</v>
      </c>
      <c r="I22" s="66" t="str">
        <f t="shared" si="12"/>
        <v> </v>
      </c>
      <c r="J22" s="66" t="str">
        <f t="shared" si="13"/>
        <v> </v>
      </c>
      <c r="K22" s="66" t="str">
        <f t="shared" si="14"/>
        <v> </v>
      </c>
      <c r="L22" s="66" t="str">
        <f t="shared" si="15"/>
        <v> </v>
      </c>
      <c r="M22" s="66">
        <f t="shared" si="16"/>
        <v>99.2976</v>
      </c>
      <c r="N22" s="66" t="str">
        <f t="shared" si="17"/>
        <v> </v>
      </c>
      <c r="O22" s="66" t="str">
        <f t="shared" si="18"/>
        <v> </v>
      </c>
      <c r="P22" s="66" t="str">
        <f t="shared" si="19"/>
        <v> </v>
      </c>
      <c r="Q22" s="66" t="str">
        <f t="shared" si="20"/>
        <v> </v>
      </c>
      <c r="R22" s="132" t="str">
        <f t="shared" si="21"/>
        <v> </v>
      </c>
    </row>
    <row r="23" s="2" customFormat="1" ht="12" customHeight="1" spans="1:18">
      <c r="A23" s="156" t="s">
        <v>265</v>
      </c>
      <c r="B23" s="33"/>
      <c r="C23" s="33">
        <v>36</v>
      </c>
      <c r="D23" s="32" t="s">
        <v>256</v>
      </c>
      <c r="E23" s="32">
        <v>8</v>
      </c>
      <c r="F23" s="33">
        <v>2</v>
      </c>
      <c r="G23" s="33">
        <f t="shared" si="22"/>
        <v>72</v>
      </c>
      <c r="H23" s="34">
        <f>0.25*4+0.4*3+10*0.008*4</f>
        <v>2.52</v>
      </c>
      <c r="I23" s="66" t="str">
        <f t="shared" si="12"/>
        <v> </v>
      </c>
      <c r="J23" s="66">
        <f t="shared" si="13"/>
        <v>71.6688</v>
      </c>
      <c r="K23" s="66" t="str">
        <f t="shared" si="14"/>
        <v> </v>
      </c>
      <c r="L23" s="66" t="str">
        <f t="shared" si="15"/>
        <v> </v>
      </c>
      <c r="M23" s="66" t="str">
        <f t="shared" si="16"/>
        <v> </v>
      </c>
      <c r="N23" s="66" t="str">
        <f t="shared" si="17"/>
        <v> 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132" t="str">
        <f t="shared" si="21"/>
        <v> </v>
      </c>
    </row>
    <row r="24" s="2" customFormat="1" ht="12" customHeight="1" spans="1:18">
      <c r="A24" s="156"/>
      <c r="B24" s="36"/>
      <c r="C24" s="33"/>
      <c r="D24" s="32"/>
      <c r="E24" s="32"/>
      <c r="F24" s="33"/>
      <c r="G24" s="33"/>
      <c r="H24" s="34"/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 t="str">
        <f t="shared" si="15"/>
        <v> 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132" t="str">
        <f t="shared" si="21"/>
        <v> </v>
      </c>
    </row>
    <row r="25" s="2" customFormat="1" ht="12" customHeight="1" spans="1:18">
      <c r="A25" s="157"/>
      <c r="B25" s="36"/>
      <c r="C25" s="33"/>
      <c r="D25" s="32"/>
      <c r="E25" s="32"/>
      <c r="F25" s="33"/>
      <c r="G25" s="33"/>
      <c r="H25" s="34"/>
      <c r="I25" s="66" t="str">
        <f t="shared" si="12"/>
        <v> </v>
      </c>
      <c r="J25" s="66" t="str">
        <f t="shared" si="13"/>
        <v> </v>
      </c>
      <c r="K25" s="66" t="str">
        <f t="shared" si="14"/>
        <v> 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132" t="str">
        <f t="shared" si="21"/>
        <v> </v>
      </c>
    </row>
    <row r="26" ht="17.25" customHeight="1" spans="1:21">
      <c r="A26" s="112" t="s">
        <v>259</v>
      </c>
      <c r="B26" s="42"/>
      <c r="C26" s="42"/>
      <c r="D26" s="42"/>
      <c r="E26" s="42"/>
      <c r="F26" s="42"/>
      <c r="G26" s="42"/>
      <c r="H26" s="43"/>
      <c r="I26" s="67">
        <v>0.222</v>
      </c>
      <c r="J26" s="68">
        <v>0.397</v>
      </c>
      <c r="K26" s="69">
        <v>0.617</v>
      </c>
      <c r="L26" s="69">
        <v>0.888</v>
      </c>
      <c r="M26" s="69">
        <v>1.208</v>
      </c>
      <c r="N26" s="68">
        <v>1.576</v>
      </c>
      <c r="O26" s="68">
        <v>2.47</v>
      </c>
      <c r="P26" s="69">
        <v>3.854</v>
      </c>
      <c r="Q26" s="69">
        <v>6.313</v>
      </c>
      <c r="R26" s="133">
        <v>9.866</v>
      </c>
      <c r="T26" s="83"/>
      <c r="U26" s="83"/>
    </row>
    <row r="27" ht="15" customHeight="1" spans="1:21">
      <c r="A27" s="113" t="s">
        <v>260</v>
      </c>
      <c r="B27" s="45"/>
      <c r="C27" s="45"/>
      <c r="D27" s="45"/>
      <c r="E27" s="45"/>
      <c r="F27" s="45"/>
      <c r="G27" s="45"/>
      <c r="H27" s="46"/>
      <c r="I27" s="70">
        <f>SUM(I20:I25)</f>
        <v>0</v>
      </c>
      <c r="J27" s="70">
        <f t="shared" ref="J27:R27" si="23">SUM(J20:J25)</f>
        <v>71.6688</v>
      </c>
      <c r="K27" s="70">
        <f t="shared" si="23"/>
        <v>0</v>
      </c>
      <c r="L27" s="70">
        <f t="shared" si="23"/>
        <v>0</v>
      </c>
      <c r="M27" s="70">
        <f t="shared" si="23"/>
        <v>99.2976</v>
      </c>
      <c r="N27" s="70">
        <f t="shared" si="23"/>
        <v>0</v>
      </c>
      <c r="O27" s="70">
        <f t="shared" si="23"/>
        <v>0</v>
      </c>
      <c r="P27" s="70">
        <f t="shared" si="23"/>
        <v>0</v>
      </c>
      <c r="Q27" s="70">
        <f t="shared" si="23"/>
        <v>0</v>
      </c>
      <c r="R27" s="134">
        <f t="shared" si="23"/>
        <v>0</v>
      </c>
      <c r="T27" s="83"/>
      <c r="U27" s="83"/>
    </row>
    <row r="28" s="3" customFormat="1" ht="16.5" customHeight="1" spans="1:21">
      <c r="A28" s="114" t="s">
        <v>261</v>
      </c>
      <c r="B28" s="48"/>
      <c r="C28" s="48"/>
      <c r="D28" s="48"/>
      <c r="E28" s="48"/>
      <c r="F28" s="48"/>
      <c r="G28" s="48"/>
      <c r="H28" s="49"/>
      <c r="I28" s="71"/>
      <c r="J28" s="72"/>
      <c r="K28" s="72"/>
      <c r="L28" s="72"/>
      <c r="M28" s="72"/>
      <c r="N28" s="72"/>
      <c r="O28" s="72"/>
      <c r="P28" s="71"/>
      <c r="Q28" s="71"/>
      <c r="R28" s="135">
        <f>(SUM(I27:R27))</f>
        <v>170.9664</v>
      </c>
      <c r="T28" s="177"/>
      <c r="U28" s="86"/>
    </row>
    <row r="29" hidden="1" spans="1:20">
      <c r="A29" s="158"/>
      <c r="B29" s="51"/>
      <c r="C29" s="52"/>
      <c r="D29" s="53"/>
      <c r="E29" s="53"/>
      <c r="F29" s="53"/>
      <c r="G29" s="52"/>
      <c r="H29" s="54"/>
      <c r="I29" s="75"/>
      <c r="J29" s="75"/>
      <c r="K29" s="75"/>
      <c r="L29" s="75"/>
      <c r="M29" s="75"/>
      <c r="N29" s="75"/>
      <c r="O29" s="75"/>
      <c r="P29" s="75"/>
      <c r="Q29" s="88" t="s">
        <v>262</v>
      </c>
      <c r="R29" s="169">
        <f>0.45*0.3*3.41*2</f>
        <v>0.9207</v>
      </c>
      <c r="T29" s="177"/>
    </row>
    <row r="30" hidden="1" spans="1:20">
      <c r="A30" s="158"/>
      <c r="B30" s="51"/>
      <c r="C30" s="52"/>
      <c r="D30" s="53"/>
      <c r="E30" s="53"/>
      <c r="F30" s="53"/>
      <c r="G30" s="52"/>
      <c r="H30" s="54"/>
      <c r="I30" s="75"/>
      <c r="J30" s="75"/>
      <c r="K30" s="75"/>
      <c r="L30" s="75"/>
      <c r="M30" s="75"/>
      <c r="N30" s="75"/>
      <c r="O30" s="75"/>
      <c r="P30" s="75"/>
      <c r="Q30" s="88" t="s">
        <v>263</v>
      </c>
      <c r="R30" s="170">
        <f>R28/R29</f>
        <v>185.691756272401</v>
      </c>
      <c r="T30" s="177"/>
    </row>
    <row r="31" ht="15.15" spans="1:21">
      <c r="A31" s="158"/>
      <c r="B31" s="51"/>
      <c r="C31" s="52"/>
      <c r="D31" s="53"/>
      <c r="E31" s="53"/>
      <c r="F31" s="53"/>
      <c r="G31" s="52"/>
      <c r="H31" s="54"/>
      <c r="I31" s="75"/>
      <c r="J31" s="75"/>
      <c r="K31" s="75"/>
      <c r="L31" s="75"/>
      <c r="M31" s="75"/>
      <c r="N31" s="75"/>
      <c r="O31" s="75"/>
      <c r="P31" s="75"/>
      <c r="Q31" s="88"/>
      <c r="R31" s="171"/>
      <c r="T31" s="177">
        <f>R14+R28+R42+R56+R70</f>
        <v>1129.34958</v>
      </c>
      <c r="U31" t="s">
        <v>290</v>
      </c>
    </row>
    <row r="32" s="1" customFormat="1" ht="29.25" customHeight="1" spans="1:21">
      <c r="A32" s="116" t="s">
        <v>235</v>
      </c>
      <c r="B32" s="17" t="s">
        <v>236</v>
      </c>
      <c r="C32" s="18" t="s">
        <v>237</v>
      </c>
      <c r="D32" s="17" t="s">
        <v>238</v>
      </c>
      <c r="E32" s="17"/>
      <c r="F32" s="17" t="s">
        <v>239</v>
      </c>
      <c r="G32" s="19" t="s">
        <v>240</v>
      </c>
      <c r="H32" s="20" t="s">
        <v>241</v>
      </c>
      <c r="I32" s="63" t="s">
        <v>242</v>
      </c>
      <c r="J32" s="64"/>
      <c r="K32" s="64"/>
      <c r="L32" s="64"/>
      <c r="M32" s="64"/>
      <c r="N32" s="64"/>
      <c r="O32" s="64"/>
      <c r="P32" s="64"/>
      <c r="Q32" s="64"/>
      <c r="R32" s="139"/>
      <c r="T32" s="178">
        <f>+'Poteaux Etage'!T28</f>
        <v>1080.99414</v>
      </c>
      <c r="U32" t="s">
        <v>291</v>
      </c>
    </row>
    <row r="33" s="1" customFormat="1" ht="15.75" customHeight="1" spans="1:21">
      <c r="A33" s="105"/>
      <c r="B33" s="22"/>
      <c r="C33" s="23"/>
      <c r="D33" s="22"/>
      <c r="E33" s="22"/>
      <c r="F33" s="22"/>
      <c r="G33" s="24"/>
      <c r="H33" s="25"/>
      <c r="I33" s="65" t="s">
        <v>243</v>
      </c>
      <c r="J33" s="65" t="s">
        <v>244</v>
      </c>
      <c r="K33" s="65" t="s">
        <v>245</v>
      </c>
      <c r="L33" s="65" t="s">
        <v>246</v>
      </c>
      <c r="M33" s="65" t="s">
        <v>247</v>
      </c>
      <c r="N33" s="65" t="s">
        <v>248</v>
      </c>
      <c r="O33" s="65" t="s">
        <v>249</v>
      </c>
      <c r="P33" s="65" t="s">
        <v>250</v>
      </c>
      <c r="Q33" s="65" t="s">
        <v>251</v>
      </c>
      <c r="R33" s="131" t="s">
        <v>252</v>
      </c>
      <c r="T33" s="178">
        <f>+'Poutres RDC'!T15</f>
        <v>1499.69574</v>
      </c>
      <c r="U33" s="179" t="s">
        <v>292</v>
      </c>
    </row>
    <row r="34" s="2" customFormat="1" ht="14.25" customHeight="1" spans="1:21">
      <c r="A34" s="154" t="s">
        <v>253</v>
      </c>
      <c r="B34" s="27"/>
      <c r="C34" s="27"/>
      <c r="D34" s="27"/>
      <c r="E34" s="27"/>
      <c r="F34" s="27"/>
      <c r="G34" s="27"/>
      <c r="H34" s="28"/>
      <c r="I34" s="66" t="str">
        <f>IF(E34=6,(G34*H34*0.222)," ")</f>
        <v> </v>
      </c>
      <c r="J34" s="66" t="str">
        <f>IF(E34=8,(H34*G34*0.395)," ")</f>
        <v> </v>
      </c>
      <c r="K34" s="66" t="str">
        <f>IF(E34=10,(G34*H34*0.617)," ")</f>
        <v> </v>
      </c>
      <c r="L34" s="66" t="str">
        <f>IF(E34=12,(H34*G34*0.888)," ")</f>
        <v> </v>
      </c>
      <c r="M34" s="66" t="str">
        <f>IF(E34=14,(H34*G34*1.208)," ")</f>
        <v> </v>
      </c>
      <c r="N34" s="66" t="str">
        <f>IF(E34=16,(H34*G34*1.578)," ")</f>
        <v> </v>
      </c>
      <c r="O34" s="66" t="str">
        <f>IF(E34=20,(H34*G34*2.466)," ")</f>
        <v> </v>
      </c>
      <c r="P34" s="66" t="str">
        <f>IF(E34=25,(H34*G34*3.854)," ")</f>
        <v> </v>
      </c>
      <c r="Q34" s="66" t="str">
        <f>IF(E34=32,(H34*G34*6.314)," ")</f>
        <v> </v>
      </c>
      <c r="R34" s="132" t="str">
        <f>IF(E34=40,(H34*G34*9.866)," ")</f>
        <v> </v>
      </c>
      <c r="T34" s="178">
        <f>+'Poutres ETAGE'!T30</f>
        <v>1473.30936</v>
      </c>
      <c r="U34" s="179" t="s">
        <v>293</v>
      </c>
    </row>
    <row r="35" s="2" customFormat="1" ht="12" customHeight="1" spans="1:20">
      <c r="A35" s="155" t="s">
        <v>294</v>
      </c>
      <c r="B35" s="30"/>
      <c r="C35" s="31"/>
      <c r="D35" s="32"/>
      <c r="E35" s="32"/>
      <c r="F35" s="33"/>
      <c r="G35" s="33"/>
      <c r="H35" s="34"/>
      <c r="I35" s="66" t="str">
        <f t="shared" ref="I35:I39" si="24">IF(E35=6,(G35*H35*0.222)," ")</f>
        <v> </v>
      </c>
      <c r="J35" s="66" t="str">
        <f t="shared" ref="J35:J39" si="25">IF(E35=8,(H35*G35*0.395)," ")</f>
        <v> </v>
      </c>
      <c r="K35" s="66" t="str">
        <f t="shared" ref="K35:K39" si="26">IF(E35=10,(G35*H35*0.617)," ")</f>
        <v> </v>
      </c>
      <c r="L35" s="66" t="str">
        <f t="shared" ref="L35:L39" si="27">IF(E35=12,(H35*G35*0.888)," ")</f>
        <v> </v>
      </c>
      <c r="M35" s="66" t="str">
        <f t="shared" ref="M35:M39" si="28">IF(E35=14,(H35*G35*1.208)," ")</f>
        <v> </v>
      </c>
      <c r="N35" s="66" t="str">
        <f t="shared" ref="N35:N39" si="29">IF(E35=16,(H35*G35*1.578)," ")</f>
        <v> </v>
      </c>
      <c r="O35" s="66" t="str">
        <f t="shared" ref="O35:O39" si="30">IF(E35=20,(H35*G35*2.466)," ")</f>
        <v> </v>
      </c>
      <c r="P35" s="66" t="str">
        <f t="shared" ref="P35:P39" si="31">IF(E35=25,(H35*G35*3.854)," ")</f>
        <v> </v>
      </c>
      <c r="Q35" s="66" t="str">
        <f t="shared" ref="Q35:Q39" si="32">IF(E35=32,(H35*G35*6.314)," ")</f>
        <v> </v>
      </c>
      <c r="R35" s="132" t="str">
        <f t="shared" ref="R35:R39" si="33">IF(E35=40,(H35*G35*9.866)," ")</f>
        <v> </v>
      </c>
      <c r="T35" s="177"/>
    </row>
    <row r="36" s="2" customFormat="1" ht="12" customHeight="1" spans="1:20">
      <c r="A36" s="156" t="s">
        <v>255</v>
      </c>
      <c r="B36" s="36"/>
      <c r="C36" s="33">
        <v>14</v>
      </c>
      <c r="D36" s="32" t="s">
        <v>256</v>
      </c>
      <c r="E36" s="32">
        <v>14</v>
      </c>
      <c r="F36" s="33">
        <v>3</v>
      </c>
      <c r="G36" s="33">
        <f t="shared" ref="G36:G37" si="34">F36*C36</f>
        <v>42</v>
      </c>
      <c r="H36" s="34">
        <f>3.41+50*0.014</f>
        <v>4.11</v>
      </c>
      <c r="I36" s="66" t="str">
        <f t="shared" si="24"/>
        <v> </v>
      </c>
      <c r="J36" s="66" t="str">
        <f t="shared" si="25"/>
        <v> </v>
      </c>
      <c r="K36" s="66" t="str">
        <f t="shared" si="26"/>
        <v> </v>
      </c>
      <c r="L36" s="66" t="str">
        <f t="shared" si="27"/>
        <v> </v>
      </c>
      <c r="M36" s="66">
        <f t="shared" si="28"/>
        <v>208.52496</v>
      </c>
      <c r="N36" s="66" t="str">
        <f t="shared" si="29"/>
        <v> </v>
      </c>
      <c r="O36" s="66" t="str">
        <f t="shared" si="30"/>
        <v> </v>
      </c>
      <c r="P36" s="66" t="str">
        <f t="shared" si="31"/>
        <v> </v>
      </c>
      <c r="Q36" s="66" t="str">
        <f t="shared" si="32"/>
        <v> </v>
      </c>
      <c r="R36" s="132" t="str">
        <f t="shared" si="33"/>
        <v> </v>
      </c>
      <c r="T36" s="180">
        <f>SUM(T31:T35)</f>
        <v>5183.34882</v>
      </c>
    </row>
    <row r="37" s="2" customFormat="1" ht="12" customHeight="1" spans="1:18">
      <c r="A37" s="156" t="s">
        <v>265</v>
      </c>
      <c r="B37" s="33"/>
      <c r="C37" s="33">
        <v>36</v>
      </c>
      <c r="D37" s="32" t="s">
        <v>256</v>
      </c>
      <c r="E37" s="32">
        <v>8</v>
      </c>
      <c r="F37" s="33">
        <v>3</v>
      </c>
      <c r="G37" s="33">
        <f t="shared" si="34"/>
        <v>108</v>
      </c>
      <c r="H37" s="34">
        <f>0.25*6+0.57*3+10*0.008*6</f>
        <v>3.69</v>
      </c>
      <c r="I37" s="66" t="str">
        <f t="shared" si="24"/>
        <v> </v>
      </c>
      <c r="J37" s="66">
        <f t="shared" si="25"/>
        <v>157.4154</v>
      </c>
      <c r="K37" s="66" t="str">
        <f t="shared" si="26"/>
        <v> </v>
      </c>
      <c r="L37" s="66" t="str">
        <f t="shared" si="27"/>
        <v> </v>
      </c>
      <c r="M37" s="66" t="str">
        <f t="shared" si="28"/>
        <v> </v>
      </c>
      <c r="N37" s="66" t="str">
        <f t="shared" si="29"/>
        <v> </v>
      </c>
      <c r="O37" s="66" t="str">
        <f t="shared" si="30"/>
        <v> </v>
      </c>
      <c r="P37" s="66" t="str">
        <f t="shared" si="31"/>
        <v> </v>
      </c>
      <c r="Q37" s="66" t="str">
        <f t="shared" si="32"/>
        <v> </v>
      </c>
      <c r="R37" s="132" t="str">
        <f t="shared" si="33"/>
        <v> </v>
      </c>
    </row>
    <row r="38" s="2" customFormat="1" ht="12" customHeight="1" spans="1:18">
      <c r="A38" s="156"/>
      <c r="B38" s="36"/>
      <c r="C38" s="33"/>
      <c r="D38" s="32"/>
      <c r="E38" s="32"/>
      <c r="F38" s="33"/>
      <c r="G38" s="33"/>
      <c r="H38" s="34"/>
      <c r="I38" s="66" t="str">
        <f t="shared" si="24"/>
        <v> </v>
      </c>
      <c r="J38" s="66" t="str">
        <f t="shared" si="25"/>
        <v> </v>
      </c>
      <c r="K38" s="66" t="str">
        <f t="shared" si="26"/>
        <v> </v>
      </c>
      <c r="L38" s="66" t="str">
        <f t="shared" si="27"/>
        <v> </v>
      </c>
      <c r="M38" s="66" t="str">
        <f t="shared" si="28"/>
        <v> </v>
      </c>
      <c r="N38" s="66" t="str">
        <f t="shared" si="29"/>
        <v> </v>
      </c>
      <c r="O38" s="66" t="str">
        <f t="shared" si="30"/>
        <v> </v>
      </c>
      <c r="P38" s="66" t="str">
        <f t="shared" si="31"/>
        <v> </v>
      </c>
      <c r="Q38" s="66" t="str">
        <f t="shared" si="32"/>
        <v> </v>
      </c>
      <c r="R38" s="132" t="str">
        <f t="shared" si="33"/>
        <v> </v>
      </c>
    </row>
    <row r="39" s="2" customFormat="1" ht="12" customHeight="1" spans="1:18">
      <c r="A39" s="157"/>
      <c r="B39" s="38"/>
      <c r="C39" s="38"/>
      <c r="D39" s="39"/>
      <c r="E39" s="39"/>
      <c r="F39" s="38"/>
      <c r="G39" s="38"/>
      <c r="H39" s="40"/>
      <c r="I39" s="66" t="str">
        <f t="shared" si="24"/>
        <v> </v>
      </c>
      <c r="J39" s="66" t="str">
        <f t="shared" si="25"/>
        <v> </v>
      </c>
      <c r="K39" s="66" t="str">
        <f t="shared" si="26"/>
        <v> </v>
      </c>
      <c r="L39" s="66" t="str">
        <f t="shared" si="27"/>
        <v> </v>
      </c>
      <c r="M39" s="66" t="str">
        <f t="shared" si="28"/>
        <v> </v>
      </c>
      <c r="N39" s="66" t="str">
        <f t="shared" si="29"/>
        <v> </v>
      </c>
      <c r="O39" s="66" t="str">
        <f t="shared" si="30"/>
        <v> </v>
      </c>
      <c r="P39" s="66" t="str">
        <f t="shared" si="31"/>
        <v> </v>
      </c>
      <c r="Q39" s="66" t="str">
        <f t="shared" si="32"/>
        <v> </v>
      </c>
      <c r="R39" s="132" t="str">
        <f t="shared" si="33"/>
        <v> </v>
      </c>
    </row>
    <row r="40" ht="17.25" customHeight="1" spans="1:21">
      <c r="A40" s="112" t="s">
        <v>259</v>
      </c>
      <c r="B40" s="42"/>
      <c r="C40" s="42"/>
      <c r="D40" s="42"/>
      <c r="E40" s="42"/>
      <c r="F40" s="42"/>
      <c r="G40" s="42"/>
      <c r="H40" s="43"/>
      <c r="I40" s="67">
        <v>0.222</v>
      </c>
      <c r="J40" s="68">
        <v>0.397</v>
      </c>
      <c r="K40" s="69">
        <v>0.617</v>
      </c>
      <c r="L40" s="69">
        <v>0.888</v>
      </c>
      <c r="M40" s="69">
        <v>1.208</v>
      </c>
      <c r="N40" s="68">
        <v>1.576</v>
      </c>
      <c r="O40" s="68">
        <v>2.47</v>
      </c>
      <c r="P40" s="69">
        <v>3.854</v>
      </c>
      <c r="Q40" s="69">
        <v>6.313</v>
      </c>
      <c r="R40" s="133">
        <v>9.866</v>
      </c>
      <c r="T40" s="83"/>
      <c r="U40" s="83"/>
    </row>
    <row r="41" ht="15" customHeight="1" spans="1:21">
      <c r="A41" s="113" t="s">
        <v>260</v>
      </c>
      <c r="B41" s="45"/>
      <c r="C41" s="45"/>
      <c r="D41" s="45"/>
      <c r="E41" s="45"/>
      <c r="F41" s="45"/>
      <c r="G41" s="45"/>
      <c r="H41" s="46"/>
      <c r="I41" s="70">
        <f>SUM(I34:I39)</f>
        <v>0</v>
      </c>
      <c r="J41" s="70">
        <f t="shared" ref="J41:R41" si="35">SUM(J34:J39)</f>
        <v>157.4154</v>
      </c>
      <c r="K41" s="70">
        <f t="shared" si="35"/>
        <v>0</v>
      </c>
      <c r="L41" s="70">
        <f t="shared" si="35"/>
        <v>0</v>
      </c>
      <c r="M41" s="70">
        <f t="shared" si="35"/>
        <v>208.52496</v>
      </c>
      <c r="N41" s="70">
        <f t="shared" si="35"/>
        <v>0</v>
      </c>
      <c r="O41" s="70">
        <f t="shared" si="35"/>
        <v>0</v>
      </c>
      <c r="P41" s="70">
        <f t="shared" si="35"/>
        <v>0</v>
      </c>
      <c r="Q41" s="70">
        <f t="shared" si="35"/>
        <v>0</v>
      </c>
      <c r="R41" s="134">
        <f t="shared" si="35"/>
        <v>0</v>
      </c>
      <c r="T41" s="83"/>
      <c r="U41" s="83"/>
    </row>
    <row r="42" s="3" customFormat="1" ht="16.5" customHeight="1" spans="1:21">
      <c r="A42" s="114" t="s">
        <v>261</v>
      </c>
      <c r="B42" s="48"/>
      <c r="C42" s="48"/>
      <c r="D42" s="48"/>
      <c r="E42" s="48"/>
      <c r="F42" s="48"/>
      <c r="G42" s="48"/>
      <c r="H42" s="49"/>
      <c r="I42" s="71"/>
      <c r="J42" s="72"/>
      <c r="K42" s="72"/>
      <c r="L42" s="72"/>
      <c r="M42" s="72"/>
      <c r="N42" s="72"/>
      <c r="O42" s="72"/>
      <c r="P42" s="71"/>
      <c r="Q42" s="71"/>
      <c r="R42" s="135">
        <f>(SUM(I41:R41))</f>
        <v>365.94036</v>
      </c>
      <c r="T42" s="86"/>
      <c r="U42" s="86"/>
    </row>
    <row r="43" hidden="1" spans="1:18">
      <c r="A43" s="158"/>
      <c r="B43" s="51"/>
      <c r="C43" s="52"/>
      <c r="D43" s="53"/>
      <c r="E43" s="53"/>
      <c r="F43" s="53"/>
      <c r="G43" s="52"/>
      <c r="H43" s="54"/>
      <c r="I43" s="75"/>
      <c r="J43" s="75"/>
      <c r="K43" s="75"/>
      <c r="L43" s="75"/>
      <c r="M43" s="75"/>
      <c r="N43" s="75"/>
      <c r="O43" s="75"/>
      <c r="P43" s="75"/>
      <c r="Q43" s="88" t="s">
        <v>262</v>
      </c>
      <c r="R43" s="169">
        <f>0.62*0.3*3.41*3</f>
        <v>1.90278</v>
      </c>
    </row>
    <row r="44" hidden="1" spans="1:18">
      <c r="A44" s="158"/>
      <c r="B44" s="51"/>
      <c r="C44" s="52"/>
      <c r="D44" s="53"/>
      <c r="E44" s="53"/>
      <c r="F44" s="53"/>
      <c r="G44" s="52"/>
      <c r="H44" s="54"/>
      <c r="I44" s="75"/>
      <c r="J44" s="75"/>
      <c r="K44" s="75"/>
      <c r="L44" s="75"/>
      <c r="M44" s="75"/>
      <c r="N44" s="75"/>
      <c r="O44" s="75"/>
      <c r="P44" s="75"/>
      <c r="Q44" s="88" t="s">
        <v>263</v>
      </c>
      <c r="R44" s="170">
        <f>R42/R43</f>
        <v>192.318796707975</v>
      </c>
    </row>
    <row r="45" ht="15.15" spans="1:18">
      <c r="A45" s="158"/>
      <c r="B45" s="51"/>
      <c r="C45" s="52"/>
      <c r="D45" s="53"/>
      <c r="E45" s="53"/>
      <c r="F45" s="53"/>
      <c r="G45" s="52"/>
      <c r="H45" s="54"/>
      <c r="I45" s="75"/>
      <c r="J45" s="75"/>
      <c r="K45" s="75"/>
      <c r="L45" s="75"/>
      <c r="M45" s="75"/>
      <c r="N45" s="75"/>
      <c r="O45" s="75"/>
      <c r="P45" s="75"/>
      <c r="Q45" s="88"/>
      <c r="R45" s="171"/>
    </row>
    <row r="46" s="1" customFormat="1" ht="21" customHeight="1" spans="1:18">
      <c r="A46" s="116" t="s">
        <v>235</v>
      </c>
      <c r="B46" s="17" t="s">
        <v>236</v>
      </c>
      <c r="C46" s="18" t="s">
        <v>237</v>
      </c>
      <c r="D46" s="17" t="s">
        <v>238</v>
      </c>
      <c r="E46" s="17"/>
      <c r="F46" s="17" t="s">
        <v>239</v>
      </c>
      <c r="G46" s="19" t="s">
        <v>240</v>
      </c>
      <c r="H46" s="20" t="s">
        <v>241</v>
      </c>
      <c r="I46" s="63" t="s">
        <v>242</v>
      </c>
      <c r="J46" s="64"/>
      <c r="K46" s="64"/>
      <c r="L46" s="64"/>
      <c r="M46" s="64"/>
      <c r="N46" s="64"/>
      <c r="O46" s="64"/>
      <c r="P46" s="64"/>
      <c r="Q46" s="64"/>
      <c r="R46" s="139"/>
    </row>
    <row r="47" s="1" customFormat="1" ht="15.75" customHeight="1" spans="1:18">
      <c r="A47" s="105"/>
      <c r="B47" s="22"/>
      <c r="C47" s="23"/>
      <c r="D47" s="22"/>
      <c r="E47" s="22"/>
      <c r="F47" s="22"/>
      <c r="G47" s="24"/>
      <c r="H47" s="25"/>
      <c r="I47" s="65" t="s">
        <v>243</v>
      </c>
      <c r="J47" s="65" t="s">
        <v>244</v>
      </c>
      <c r="K47" s="65" t="s">
        <v>245</v>
      </c>
      <c r="L47" s="65" t="s">
        <v>246</v>
      </c>
      <c r="M47" s="65" t="s">
        <v>247</v>
      </c>
      <c r="N47" s="65" t="s">
        <v>248</v>
      </c>
      <c r="O47" s="65" t="s">
        <v>249</v>
      </c>
      <c r="P47" s="65" t="s">
        <v>250</v>
      </c>
      <c r="Q47" s="65" t="s">
        <v>251</v>
      </c>
      <c r="R47" s="131" t="s">
        <v>252</v>
      </c>
    </row>
    <row r="48" s="2" customFormat="1" ht="14.25" customHeight="1" spans="1:18">
      <c r="A48" s="154" t="s">
        <v>253</v>
      </c>
      <c r="B48" s="27"/>
      <c r="C48" s="27"/>
      <c r="D48" s="27"/>
      <c r="E48" s="27"/>
      <c r="F48" s="27"/>
      <c r="G48" s="27"/>
      <c r="H48" s="28"/>
      <c r="I48" s="66" t="str">
        <f>IF(E48=6,(G48*H48*0.222)," ")</f>
        <v> </v>
      </c>
      <c r="J48" s="66" t="str">
        <f>IF(E48=8,(H48*G48*0.395)," ")</f>
        <v> </v>
      </c>
      <c r="K48" s="66" t="str">
        <f>IF(E48=10,(G48*H48*0.617)," ")</f>
        <v> </v>
      </c>
      <c r="L48" s="66" t="str">
        <f>IF(E48=12,(H48*G48*0.888)," ")</f>
        <v> </v>
      </c>
      <c r="M48" s="66" t="str">
        <f>IF(E48=14,(H48*G48*1.208)," ")</f>
        <v> </v>
      </c>
      <c r="N48" s="66" t="str">
        <f>IF(E48=16,(H48*G48*1.578)," ")</f>
        <v> </v>
      </c>
      <c r="O48" s="66" t="str">
        <f>IF(E48=20,(H48*G48*2.466)," ")</f>
        <v> </v>
      </c>
      <c r="P48" s="66" t="str">
        <f>IF(E48=25,(H48*G48*3.854)," ")</f>
        <v> </v>
      </c>
      <c r="Q48" s="66" t="str">
        <f>IF(E48=32,(H48*G48*6.314)," ")</f>
        <v> </v>
      </c>
      <c r="R48" s="132" t="str">
        <f>IF(E48=40,(H48*G48*9.866)," ")</f>
        <v> </v>
      </c>
    </row>
    <row r="49" s="2" customFormat="1" ht="12" customHeight="1" spans="1:18">
      <c r="A49" s="155" t="s">
        <v>295</v>
      </c>
      <c r="B49" s="30"/>
      <c r="C49" s="31"/>
      <c r="D49" s="32"/>
      <c r="E49" s="32"/>
      <c r="F49" s="33"/>
      <c r="G49" s="33"/>
      <c r="H49" s="34"/>
      <c r="I49" s="66" t="str">
        <f t="shared" ref="I49:I53" si="36">IF(E49=6,(G49*H49*0.222)," ")</f>
        <v> </v>
      </c>
      <c r="J49" s="66" t="str">
        <f t="shared" ref="J49:J53" si="37">IF(E49=8,(H49*G49*0.395)," ")</f>
        <v> </v>
      </c>
      <c r="K49" s="66" t="str">
        <f t="shared" ref="K49:K53" si="38">IF(E49=10,(G49*H49*0.617)," ")</f>
        <v> </v>
      </c>
      <c r="L49" s="66" t="str">
        <f t="shared" ref="L49:L53" si="39">IF(E49=12,(H49*G49*0.888)," ")</f>
        <v> </v>
      </c>
      <c r="M49" s="66" t="str">
        <f t="shared" ref="M49:M53" si="40">IF(E49=14,(H49*G49*1.208)," ")</f>
        <v> </v>
      </c>
      <c r="N49" s="66" t="str">
        <f t="shared" ref="N49:N53" si="41">IF(E49=16,(H49*G49*1.578)," ")</f>
        <v> </v>
      </c>
      <c r="O49" s="66" t="str">
        <f t="shared" ref="O49:O53" si="42">IF(E49=20,(H49*G49*2.466)," ")</f>
        <v> </v>
      </c>
      <c r="P49" s="66" t="str">
        <f t="shared" ref="P49:P53" si="43">IF(E49=25,(H49*G49*3.854)," ")</f>
        <v> </v>
      </c>
      <c r="Q49" s="66" t="str">
        <f t="shared" ref="Q49:Q53" si="44">IF(E49=32,(H49*G49*6.314)," ")</f>
        <v> </v>
      </c>
      <c r="R49" s="132" t="str">
        <f t="shared" ref="R49:R53" si="45">IF(E49=40,(H49*G49*9.866)," ")</f>
        <v> </v>
      </c>
    </row>
    <row r="50" s="2" customFormat="1" ht="12" customHeight="1" spans="1:18">
      <c r="A50" s="156" t="s">
        <v>255</v>
      </c>
      <c r="B50" s="36"/>
      <c r="C50" s="33">
        <v>20</v>
      </c>
      <c r="D50" s="32" t="s">
        <v>256</v>
      </c>
      <c r="E50" s="32">
        <v>14</v>
      </c>
      <c r="F50" s="33">
        <v>2</v>
      </c>
      <c r="G50" s="33">
        <f t="shared" ref="G50:G51" si="46">F50*C50</f>
        <v>40</v>
      </c>
      <c r="H50" s="34">
        <f>3.41+50*0.014</f>
        <v>4.11</v>
      </c>
      <c r="I50" s="66" t="str">
        <f t="shared" si="36"/>
        <v> </v>
      </c>
      <c r="J50" s="66" t="str">
        <f t="shared" si="37"/>
        <v> </v>
      </c>
      <c r="K50" s="66" t="str">
        <f t="shared" si="38"/>
        <v> </v>
      </c>
      <c r="L50" s="66" t="str">
        <f t="shared" si="39"/>
        <v> </v>
      </c>
      <c r="M50" s="66">
        <f t="shared" si="40"/>
        <v>198.5952</v>
      </c>
      <c r="N50" s="66" t="str">
        <f t="shared" si="41"/>
        <v> </v>
      </c>
      <c r="O50" s="66" t="str">
        <f t="shared" si="42"/>
        <v> </v>
      </c>
      <c r="P50" s="66" t="str">
        <f t="shared" si="43"/>
        <v> </v>
      </c>
      <c r="Q50" s="66" t="str">
        <f t="shared" si="44"/>
        <v> </v>
      </c>
      <c r="R50" s="132" t="str">
        <f t="shared" si="45"/>
        <v> </v>
      </c>
    </row>
    <row r="51" s="2" customFormat="1" ht="12" customHeight="1" spans="1:18">
      <c r="A51" s="156" t="s">
        <v>265</v>
      </c>
      <c r="B51" s="33"/>
      <c r="C51" s="33">
        <v>36</v>
      </c>
      <c r="D51" s="32" t="s">
        <v>256</v>
      </c>
      <c r="E51" s="32">
        <v>8</v>
      </c>
      <c r="F51" s="33">
        <v>2</v>
      </c>
      <c r="G51" s="33">
        <f t="shared" si="46"/>
        <v>72</v>
      </c>
      <c r="H51" s="34">
        <f>0.25*9+0.91*3+10*0.008*9</f>
        <v>5.7</v>
      </c>
      <c r="I51" s="66" t="str">
        <f t="shared" si="36"/>
        <v> </v>
      </c>
      <c r="J51" s="66">
        <f t="shared" si="37"/>
        <v>162.108</v>
      </c>
      <c r="K51" s="66" t="str">
        <f t="shared" si="38"/>
        <v> </v>
      </c>
      <c r="L51" s="66" t="str">
        <f t="shared" si="39"/>
        <v> </v>
      </c>
      <c r="M51" s="66" t="str">
        <f t="shared" si="40"/>
        <v> </v>
      </c>
      <c r="N51" s="66" t="str">
        <f t="shared" si="41"/>
        <v> </v>
      </c>
      <c r="O51" s="66" t="str">
        <f t="shared" si="42"/>
        <v> </v>
      </c>
      <c r="P51" s="66" t="str">
        <f t="shared" si="43"/>
        <v> </v>
      </c>
      <c r="Q51" s="66" t="str">
        <f t="shared" si="44"/>
        <v> </v>
      </c>
      <c r="R51" s="132" t="str">
        <f t="shared" si="45"/>
        <v> </v>
      </c>
    </row>
    <row r="52" s="2" customFormat="1" ht="12" customHeight="1" spans="1:18">
      <c r="A52" s="156"/>
      <c r="B52" s="36"/>
      <c r="C52" s="33"/>
      <c r="D52" s="32"/>
      <c r="E52" s="32"/>
      <c r="F52" s="33"/>
      <c r="G52" s="33"/>
      <c r="H52" s="34"/>
      <c r="I52" s="66" t="str">
        <f t="shared" si="36"/>
        <v> </v>
      </c>
      <c r="J52" s="66" t="str">
        <f t="shared" si="37"/>
        <v> </v>
      </c>
      <c r="K52" s="66" t="str">
        <f t="shared" si="38"/>
        <v> </v>
      </c>
      <c r="L52" s="66" t="str">
        <f t="shared" si="39"/>
        <v> </v>
      </c>
      <c r="M52" s="66" t="str">
        <f t="shared" si="40"/>
        <v> </v>
      </c>
      <c r="N52" s="66" t="str">
        <f t="shared" si="41"/>
        <v> </v>
      </c>
      <c r="O52" s="66" t="str">
        <f t="shared" si="42"/>
        <v> </v>
      </c>
      <c r="P52" s="66" t="str">
        <f t="shared" si="43"/>
        <v> </v>
      </c>
      <c r="Q52" s="66" t="str">
        <f t="shared" si="44"/>
        <v> </v>
      </c>
      <c r="R52" s="132" t="str">
        <f t="shared" si="45"/>
        <v> </v>
      </c>
    </row>
    <row r="53" s="2" customFormat="1" ht="12" customHeight="1" spans="1:18">
      <c r="A53" s="157"/>
      <c r="B53" s="38"/>
      <c r="C53" s="38"/>
      <c r="D53" s="39"/>
      <c r="E53" s="39"/>
      <c r="F53" s="38"/>
      <c r="G53" s="38"/>
      <c r="H53" s="40"/>
      <c r="I53" s="66" t="str">
        <f t="shared" si="36"/>
        <v> </v>
      </c>
      <c r="J53" s="66" t="str">
        <f t="shared" si="37"/>
        <v> </v>
      </c>
      <c r="K53" s="66" t="str">
        <f t="shared" si="38"/>
        <v> </v>
      </c>
      <c r="L53" s="66" t="str">
        <f t="shared" si="39"/>
        <v> </v>
      </c>
      <c r="M53" s="66" t="str">
        <f t="shared" si="40"/>
        <v> </v>
      </c>
      <c r="N53" s="66" t="str">
        <f t="shared" si="41"/>
        <v> </v>
      </c>
      <c r="O53" s="66" t="str">
        <f t="shared" si="42"/>
        <v> </v>
      </c>
      <c r="P53" s="66" t="str">
        <f t="shared" si="43"/>
        <v> </v>
      </c>
      <c r="Q53" s="66" t="str">
        <f t="shared" si="44"/>
        <v> </v>
      </c>
      <c r="R53" s="132" t="str">
        <f t="shared" si="45"/>
        <v> </v>
      </c>
    </row>
    <row r="54" ht="17.25" customHeight="1" spans="1:21">
      <c r="A54" s="112" t="s">
        <v>259</v>
      </c>
      <c r="B54" s="42"/>
      <c r="C54" s="42"/>
      <c r="D54" s="42"/>
      <c r="E54" s="42"/>
      <c r="F54" s="42"/>
      <c r="G54" s="42"/>
      <c r="H54" s="43"/>
      <c r="I54" s="67">
        <v>0.222</v>
      </c>
      <c r="J54" s="68">
        <v>0.397</v>
      </c>
      <c r="K54" s="69">
        <v>0.617</v>
      </c>
      <c r="L54" s="69">
        <v>0.888</v>
      </c>
      <c r="M54" s="69">
        <v>1.208</v>
      </c>
      <c r="N54" s="68">
        <v>1.576</v>
      </c>
      <c r="O54" s="68">
        <v>2.47</v>
      </c>
      <c r="P54" s="69">
        <v>3.854</v>
      </c>
      <c r="Q54" s="69">
        <v>6.313</v>
      </c>
      <c r="R54" s="133">
        <v>9.866</v>
      </c>
      <c r="T54" s="83"/>
      <c r="U54" s="83"/>
    </row>
    <row r="55" ht="15" customHeight="1" spans="1:21">
      <c r="A55" s="113" t="s">
        <v>260</v>
      </c>
      <c r="B55" s="45"/>
      <c r="C55" s="45"/>
      <c r="D55" s="45"/>
      <c r="E55" s="45"/>
      <c r="F55" s="45"/>
      <c r="G55" s="45"/>
      <c r="H55" s="46"/>
      <c r="I55" s="70">
        <f>SUM(I48:I53)</f>
        <v>0</v>
      </c>
      <c r="J55" s="70">
        <f t="shared" ref="J55:R55" si="47">SUM(J48:J53)</f>
        <v>162.108</v>
      </c>
      <c r="K55" s="70">
        <f t="shared" si="47"/>
        <v>0</v>
      </c>
      <c r="L55" s="70">
        <f t="shared" si="47"/>
        <v>0</v>
      </c>
      <c r="M55" s="70">
        <f t="shared" si="47"/>
        <v>198.5952</v>
      </c>
      <c r="N55" s="70">
        <f t="shared" si="47"/>
        <v>0</v>
      </c>
      <c r="O55" s="70">
        <f t="shared" si="47"/>
        <v>0</v>
      </c>
      <c r="P55" s="70">
        <f t="shared" si="47"/>
        <v>0</v>
      </c>
      <c r="Q55" s="70">
        <f t="shared" si="47"/>
        <v>0</v>
      </c>
      <c r="R55" s="134">
        <f t="shared" si="47"/>
        <v>0</v>
      </c>
      <c r="T55" s="83"/>
      <c r="U55" s="83"/>
    </row>
    <row r="56" s="3" customFormat="1" ht="16.5" customHeight="1" spans="1:21">
      <c r="A56" s="114" t="s">
        <v>261</v>
      </c>
      <c r="B56" s="48"/>
      <c r="C56" s="48"/>
      <c r="D56" s="48"/>
      <c r="E56" s="48"/>
      <c r="F56" s="48"/>
      <c r="G56" s="48"/>
      <c r="H56" s="49"/>
      <c r="I56" s="71"/>
      <c r="J56" s="72"/>
      <c r="K56" s="72"/>
      <c r="L56" s="72"/>
      <c r="M56" s="72"/>
      <c r="N56" s="72"/>
      <c r="O56" s="72"/>
      <c r="P56" s="71"/>
      <c r="Q56" s="71"/>
      <c r="R56" s="135">
        <f>(SUM(I55:R55))</f>
        <v>360.7032</v>
      </c>
      <c r="T56" s="86"/>
      <c r="U56" s="86"/>
    </row>
    <row r="57" hidden="1" spans="1:18">
      <c r="A57" s="158"/>
      <c r="B57" s="51"/>
      <c r="C57" s="52"/>
      <c r="D57" s="53"/>
      <c r="E57" s="53"/>
      <c r="F57" s="53"/>
      <c r="G57" s="52"/>
      <c r="H57" s="54"/>
      <c r="I57" s="75"/>
      <c r="J57" s="75"/>
      <c r="K57" s="75"/>
      <c r="L57" s="75"/>
      <c r="M57" s="75"/>
      <c r="N57" s="75"/>
      <c r="O57" s="75"/>
      <c r="P57" s="75"/>
      <c r="Q57" s="88" t="s">
        <v>262</v>
      </c>
      <c r="R57" s="169">
        <f>0.96*0.3*3.41*2</f>
        <v>1.96416</v>
      </c>
    </row>
    <row r="58" hidden="1" spans="1:18">
      <c r="A58" s="158"/>
      <c r="B58" s="51"/>
      <c r="C58" s="52"/>
      <c r="D58" s="53"/>
      <c r="E58" s="53"/>
      <c r="F58" s="53"/>
      <c r="G58" s="52"/>
      <c r="H58" s="54"/>
      <c r="I58" s="75"/>
      <c r="J58" s="75"/>
      <c r="K58" s="75"/>
      <c r="L58" s="75"/>
      <c r="M58" s="75"/>
      <c r="N58" s="75"/>
      <c r="O58" s="75"/>
      <c r="P58" s="75"/>
      <c r="Q58" s="88" t="s">
        <v>263</v>
      </c>
      <c r="R58" s="170">
        <f>R56/R57</f>
        <v>183.64247311828</v>
      </c>
    </row>
    <row r="59" ht="15.15" spans="1:18">
      <c r="A59" s="158"/>
      <c r="B59" s="51"/>
      <c r="C59" s="52"/>
      <c r="D59" s="53"/>
      <c r="E59" s="53"/>
      <c r="F59" s="53"/>
      <c r="G59" s="52"/>
      <c r="H59" s="54"/>
      <c r="I59" s="75"/>
      <c r="J59" s="75"/>
      <c r="K59" s="75"/>
      <c r="L59" s="75"/>
      <c r="M59" s="75"/>
      <c r="N59" s="75"/>
      <c r="O59" s="75"/>
      <c r="P59" s="75"/>
      <c r="Q59" s="88"/>
      <c r="R59" s="171"/>
    </row>
    <row r="60" s="1" customFormat="1" ht="21" customHeight="1" spans="1:18">
      <c r="A60" s="116" t="s">
        <v>235</v>
      </c>
      <c r="B60" s="17" t="s">
        <v>236</v>
      </c>
      <c r="C60" s="18" t="s">
        <v>237</v>
      </c>
      <c r="D60" s="17" t="s">
        <v>238</v>
      </c>
      <c r="E60" s="17"/>
      <c r="F60" s="17" t="s">
        <v>239</v>
      </c>
      <c r="G60" s="19" t="s">
        <v>240</v>
      </c>
      <c r="H60" s="20" t="s">
        <v>241</v>
      </c>
      <c r="I60" s="63" t="s">
        <v>242</v>
      </c>
      <c r="J60" s="64"/>
      <c r="K60" s="64"/>
      <c r="L60" s="64"/>
      <c r="M60" s="64"/>
      <c r="N60" s="64"/>
      <c r="O60" s="64"/>
      <c r="P60" s="64"/>
      <c r="Q60" s="64"/>
      <c r="R60" s="139"/>
    </row>
    <row r="61" s="1" customFormat="1" ht="15.75" customHeight="1" spans="1:18">
      <c r="A61" s="105"/>
      <c r="B61" s="22"/>
      <c r="C61" s="23"/>
      <c r="D61" s="22"/>
      <c r="E61" s="22"/>
      <c r="F61" s="22"/>
      <c r="G61" s="24"/>
      <c r="H61" s="25"/>
      <c r="I61" s="65" t="s">
        <v>243</v>
      </c>
      <c r="J61" s="65" t="s">
        <v>244</v>
      </c>
      <c r="K61" s="65" t="s">
        <v>245</v>
      </c>
      <c r="L61" s="65" t="s">
        <v>246</v>
      </c>
      <c r="M61" s="65" t="s">
        <v>247</v>
      </c>
      <c r="N61" s="65" t="s">
        <v>248</v>
      </c>
      <c r="O61" s="65" t="s">
        <v>249</v>
      </c>
      <c r="P61" s="65" t="s">
        <v>250</v>
      </c>
      <c r="Q61" s="65" t="s">
        <v>251</v>
      </c>
      <c r="R61" s="131" t="s">
        <v>252</v>
      </c>
    </row>
    <row r="62" s="2" customFormat="1" ht="14.25" customHeight="1" spans="1:18">
      <c r="A62" s="154" t="s">
        <v>253</v>
      </c>
      <c r="B62" s="27"/>
      <c r="C62" s="27"/>
      <c r="D62" s="27"/>
      <c r="E62" s="27"/>
      <c r="F62" s="27"/>
      <c r="G62" s="27"/>
      <c r="H62" s="28"/>
      <c r="I62" s="66" t="str">
        <f>IF(E62=6,(G62*H62*0.222)," ")</f>
        <v> </v>
      </c>
      <c r="J62" s="66" t="str">
        <f>IF(E62=8,(H62*G62*0.395)," ")</f>
        <v> </v>
      </c>
      <c r="K62" s="66" t="str">
        <f>IF(E62=10,(G62*H62*0.617)," ")</f>
        <v> </v>
      </c>
      <c r="L62" s="66" t="str">
        <f>IF(E62=12,(H62*G62*0.888)," ")</f>
        <v> </v>
      </c>
      <c r="M62" s="66" t="str">
        <f>IF(E62=14,(H62*G62*1.208)," ")</f>
        <v> </v>
      </c>
      <c r="N62" s="66" t="str">
        <f>IF(E62=16,(H62*G62*1.578)," ")</f>
        <v> </v>
      </c>
      <c r="O62" s="66" t="str">
        <f>IF(E62=20,(H62*G62*2.466)," ")</f>
        <v> </v>
      </c>
      <c r="P62" s="66" t="str">
        <f>IF(E62=25,(H62*G62*3.854)," ")</f>
        <v> </v>
      </c>
      <c r="Q62" s="66" t="str">
        <f>IF(E62=32,(H62*G62*6.314)," ")</f>
        <v> </v>
      </c>
      <c r="R62" s="132" t="str">
        <f>IF(E62=40,(H62*G62*9.866)," ")</f>
        <v> </v>
      </c>
    </row>
    <row r="63" s="2" customFormat="1" ht="12" customHeight="1" spans="1:18">
      <c r="A63" s="155" t="s">
        <v>296</v>
      </c>
      <c r="B63" s="30"/>
      <c r="C63" s="31"/>
      <c r="D63" s="32"/>
      <c r="E63" s="32"/>
      <c r="F63" s="33"/>
      <c r="G63" s="33"/>
      <c r="H63" s="34"/>
      <c r="I63" s="66" t="str">
        <f t="shared" ref="I63:I67" si="48">IF(E63=6,(G63*H63*0.222)," ")</f>
        <v> </v>
      </c>
      <c r="J63" s="66" t="str">
        <f t="shared" ref="J63:J67" si="49">IF(E63=8,(H63*G63*0.395)," ")</f>
        <v> </v>
      </c>
      <c r="K63" s="66" t="str">
        <f t="shared" ref="K63:K67" si="50">IF(E63=10,(G63*H63*0.617)," ")</f>
        <v> </v>
      </c>
      <c r="L63" s="66" t="str">
        <f t="shared" ref="L63:L67" si="51">IF(E63=12,(H63*G63*0.888)," ")</f>
        <v> </v>
      </c>
      <c r="M63" s="66" t="str">
        <f t="shared" ref="M63:M67" si="52">IF(E63=14,(H63*G63*1.208)," ")</f>
        <v> </v>
      </c>
      <c r="N63" s="66" t="str">
        <f t="shared" ref="N63:N67" si="53">IF(E63=16,(H63*G63*1.578)," ")</f>
        <v> </v>
      </c>
      <c r="O63" s="66" t="str">
        <f t="shared" ref="O63:O67" si="54">IF(E63=20,(H63*G63*2.466)," ")</f>
        <v> </v>
      </c>
      <c r="P63" s="66" t="str">
        <f t="shared" ref="P63:P67" si="55">IF(E63=25,(H63*G63*3.854)," ")</f>
        <v> </v>
      </c>
      <c r="Q63" s="66" t="str">
        <f t="shared" ref="Q63:Q67" si="56">IF(E63=32,(H63*G63*6.314)," ")</f>
        <v> </v>
      </c>
      <c r="R63" s="132" t="str">
        <f t="shared" ref="R63:R67" si="57">IF(E63=40,(H63*G63*9.866)," ")</f>
        <v> </v>
      </c>
    </row>
    <row r="64" s="2" customFormat="1" ht="12" customHeight="1" spans="1:18">
      <c r="A64" s="156" t="s">
        <v>255</v>
      </c>
      <c r="B64" s="36"/>
      <c r="C64" s="33">
        <v>4</v>
      </c>
      <c r="D64" s="32" t="s">
        <v>256</v>
      </c>
      <c r="E64" s="32">
        <v>12</v>
      </c>
      <c r="F64" s="33">
        <v>2</v>
      </c>
      <c r="G64" s="33">
        <f t="shared" ref="G64:G65" si="58">F64*C64</f>
        <v>8</v>
      </c>
      <c r="H64" s="34">
        <f>3.41+50*0.014</f>
        <v>4.11</v>
      </c>
      <c r="I64" s="66" t="str">
        <f t="shared" si="48"/>
        <v> </v>
      </c>
      <c r="J64" s="66" t="str">
        <f t="shared" si="49"/>
        <v> </v>
      </c>
      <c r="K64" s="66" t="str">
        <f t="shared" si="50"/>
        <v> </v>
      </c>
      <c r="L64" s="66">
        <f t="shared" si="51"/>
        <v>29.19744</v>
      </c>
      <c r="M64" s="66" t="str">
        <f t="shared" si="52"/>
        <v> </v>
      </c>
      <c r="N64" s="66" t="str">
        <f t="shared" si="53"/>
        <v> </v>
      </c>
      <c r="O64" s="66" t="str">
        <f t="shared" si="54"/>
        <v> </v>
      </c>
      <c r="P64" s="66" t="str">
        <f t="shared" si="55"/>
        <v> </v>
      </c>
      <c r="Q64" s="66" t="str">
        <f t="shared" si="56"/>
        <v> </v>
      </c>
      <c r="R64" s="132" t="str">
        <f t="shared" si="57"/>
        <v> </v>
      </c>
    </row>
    <row r="65" s="2" customFormat="1" ht="12" customHeight="1" spans="1:18">
      <c r="A65" s="156" t="s">
        <v>297</v>
      </c>
      <c r="B65" s="33"/>
      <c r="C65" s="33">
        <v>36</v>
      </c>
      <c r="D65" s="32" t="s">
        <v>256</v>
      </c>
      <c r="E65" s="32">
        <v>8</v>
      </c>
      <c r="F65" s="33">
        <v>2</v>
      </c>
      <c r="G65" s="33">
        <f t="shared" si="58"/>
        <v>72</v>
      </c>
      <c r="H65" s="34">
        <f>0.15*4+10*0.008</f>
        <v>0.68</v>
      </c>
      <c r="I65" s="66" t="str">
        <f t="shared" si="48"/>
        <v> </v>
      </c>
      <c r="J65" s="66">
        <f t="shared" si="49"/>
        <v>19.3392</v>
      </c>
      <c r="K65" s="66" t="str">
        <f t="shared" si="50"/>
        <v> </v>
      </c>
      <c r="L65" s="66" t="str">
        <f t="shared" si="51"/>
        <v> </v>
      </c>
      <c r="M65" s="66" t="str">
        <f t="shared" si="52"/>
        <v> </v>
      </c>
      <c r="N65" s="66" t="str">
        <f t="shared" si="53"/>
        <v> </v>
      </c>
      <c r="O65" s="66" t="str">
        <f t="shared" si="54"/>
        <v> </v>
      </c>
      <c r="P65" s="66" t="str">
        <f t="shared" si="55"/>
        <v> </v>
      </c>
      <c r="Q65" s="66" t="str">
        <f t="shared" si="56"/>
        <v> </v>
      </c>
      <c r="R65" s="132" t="str">
        <f t="shared" si="57"/>
        <v> </v>
      </c>
    </row>
    <row r="66" s="2" customFormat="1" ht="12" customHeight="1" spans="1:18">
      <c r="A66" s="156"/>
      <c r="B66" s="36"/>
      <c r="C66" s="33"/>
      <c r="D66" s="32"/>
      <c r="E66" s="32"/>
      <c r="F66" s="33"/>
      <c r="G66" s="33"/>
      <c r="H66" s="34"/>
      <c r="I66" s="66" t="str">
        <f t="shared" si="48"/>
        <v> </v>
      </c>
      <c r="J66" s="66" t="str">
        <f t="shared" si="49"/>
        <v> </v>
      </c>
      <c r="K66" s="66" t="str">
        <f t="shared" si="50"/>
        <v> </v>
      </c>
      <c r="L66" s="66" t="str">
        <f t="shared" si="51"/>
        <v> </v>
      </c>
      <c r="M66" s="66" t="str">
        <f t="shared" si="52"/>
        <v> </v>
      </c>
      <c r="N66" s="66" t="str">
        <f t="shared" si="53"/>
        <v> </v>
      </c>
      <c r="O66" s="66" t="str">
        <f t="shared" si="54"/>
        <v> </v>
      </c>
      <c r="P66" s="66" t="str">
        <f t="shared" si="55"/>
        <v> </v>
      </c>
      <c r="Q66" s="66" t="str">
        <f t="shared" si="56"/>
        <v> </v>
      </c>
      <c r="R66" s="132" t="str">
        <f t="shared" si="57"/>
        <v> </v>
      </c>
    </row>
    <row r="67" s="2" customFormat="1" ht="12" customHeight="1" spans="1:18">
      <c r="A67" s="157"/>
      <c r="B67" s="38"/>
      <c r="C67" s="38"/>
      <c r="D67" s="39"/>
      <c r="E67" s="39"/>
      <c r="F67" s="38"/>
      <c r="G67" s="38"/>
      <c r="H67" s="40"/>
      <c r="I67" s="66" t="str">
        <f t="shared" si="48"/>
        <v> </v>
      </c>
      <c r="J67" s="66" t="str">
        <f t="shared" si="49"/>
        <v> </v>
      </c>
      <c r="K67" s="66" t="str">
        <f t="shared" si="50"/>
        <v> </v>
      </c>
      <c r="L67" s="66" t="str">
        <f t="shared" si="51"/>
        <v> </v>
      </c>
      <c r="M67" s="66" t="str">
        <f t="shared" si="52"/>
        <v> </v>
      </c>
      <c r="N67" s="66" t="str">
        <f t="shared" si="53"/>
        <v> </v>
      </c>
      <c r="O67" s="66" t="str">
        <f t="shared" si="54"/>
        <v> </v>
      </c>
      <c r="P67" s="66" t="str">
        <f t="shared" si="55"/>
        <v> </v>
      </c>
      <c r="Q67" s="66" t="str">
        <f t="shared" si="56"/>
        <v> </v>
      </c>
      <c r="R67" s="132" t="str">
        <f t="shared" si="57"/>
        <v> </v>
      </c>
    </row>
    <row r="68" ht="17.25" customHeight="1" spans="1:21">
      <c r="A68" s="112" t="s">
        <v>259</v>
      </c>
      <c r="B68" s="42"/>
      <c r="C68" s="42"/>
      <c r="D68" s="42"/>
      <c r="E68" s="42"/>
      <c r="F68" s="42"/>
      <c r="G68" s="42"/>
      <c r="H68" s="43"/>
      <c r="I68" s="67">
        <v>0.222</v>
      </c>
      <c r="J68" s="68">
        <v>0.397</v>
      </c>
      <c r="K68" s="69">
        <v>0.617</v>
      </c>
      <c r="L68" s="69">
        <v>0.888</v>
      </c>
      <c r="M68" s="69">
        <v>1.208</v>
      </c>
      <c r="N68" s="68">
        <v>1.576</v>
      </c>
      <c r="O68" s="68">
        <v>2.47</v>
      </c>
      <c r="P68" s="69">
        <v>3.854</v>
      </c>
      <c r="Q68" s="69">
        <v>6.313</v>
      </c>
      <c r="R68" s="133">
        <v>9.866</v>
      </c>
      <c r="T68" s="83"/>
      <c r="U68" s="83"/>
    </row>
    <row r="69" ht="15" customHeight="1" spans="1:21">
      <c r="A69" s="113" t="s">
        <v>260</v>
      </c>
      <c r="B69" s="45"/>
      <c r="C69" s="45"/>
      <c r="D69" s="45"/>
      <c r="E69" s="45"/>
      <c r="F69" s="45"/>
      <c r="G69" s="45"/>
      <c r="H69" s="46"/>
      <c r="I69" s="70">
        <f>SUM(I62:I67)</f>
        <v>0</v>
      </c>
      <c r="J69" s="70">
        <f t="shared" ref="J69:R69" si="59">SUM(J62:J67)</f>
        <v>19.3392</v>
      </c>
      <c r="K69" s="70">
        <f t="shared" si="59"/>
        <v>0</v>
      </c>
      <c r="L69" s="70">
        <f t="shared" si="59"/>
        <v>29.19744</v>
      </c>
      <c r="M69" s="70">
        <f t="shared" si="59"/>
        <v>0</v>
      </c>
      <c r="N69" s="70">
        <f t="shared" si="59"/>
        <v>0</v>
      </c>
      <c r="O69" s="70">
        <f t="shared" si="59"/>
        <v>0</v>
      </c>
      <c r="P69" s="70">
        <f t="shared" si="59"/>
        <v>0</v>
      </c>
      <c r="Q69" s="70">
        <f t="shared" si="59"/>
        <v>0</v>
      </c>
      <c r="R69" s="134">
        <f t="shared" si="59"/>
        <v>0</v>
      </c>
      <c r="T69" s="83"/>
      <c r="U69" s="83"/>
    </row>
    <row r="70" s="3" customFormat="1" ht="16.5" customHeight="1" spans="1:21">
      <c r="A70" s="114" t="s">
        <v>261</v>
      </c>
      <c r="B70" s="48"/>
      <c r="C70" s="48"/>
      <c r="D70" s="48"/>
      <c r="E70" s="48"/>
      <c r="F70" s="48"/>
      <c r="G70" s="48"/>
      <c r="H70" s="49"/>
      <c r="I70" s="71"/>
      <c r="J70" s="72"/>
      <c r="K70" s="72"/>
      <c r="L70" s="72"/>
      <c r="M70" s="72"/>
      <c r="N70" s="72"/>
      <c r="O70" s="72"/>
      <c r="P70" s="71"/>
      <c r="Q70" s="71"/>
      <c r="R70" s="135">
        <f>(SUM(I69:R69))</f>
        <v>48.53664</v>
      </c>
      <c r="T70" s="86"/>
      <c r="U70" s="86"/>
    </row>
    <row r="71" ht="15.15" spans="1:18">
      <c r="A71" s="140" t="s">
        <v>261</v>
      </c>
      <c r="B71" s="141"/>
      <c r="C71" s="141"/>
      <c r="D71" s="141"/>
      <c r="E71" s="141"/>
      <c r="F71" s="141"/>
      <c r="G71" s="141"/>
      <c r="H71" s="142"/>
      <c r="I71" s="181"/>
      <c r="J71" s="182"/>
      <c r="K71" s="182"/>
      <c r="L71" s="182"/>
      <c r="M71" s="182"/>
      <c r="N71" s="182"/>
      <c r="O71" s="182"/>
      <c r="P71" s="181"/>
      <c r="Q71" s="181"/>
      <c r="R71" s="183">
        <f>+R70+R56+R42+R28+R14</f>
        <v>1129.34958</v>
      </c>
    </row>
    <row r="72" ht="15.15"/>
  </sheetData>
  <mergeCells count="57">
    <mergeCell ref="L2:M2"/>
    <mergeCell ref="I3:R3"/>
    <mergeCell ref="A12:H12"/>
    <mergeCell ref="A13:H13"/>
    <mergeCell ref="A14:H14"/>
    <mergeCell ref="I18:R18"/>
    <mergeCell ref="A26:H26"/>
    <mergeCell ref="A27:H27"/>
    <mergeCell ref="A28:H28"/>
    <mergeCell ref="I32:R32"/>
    <mergeCell ref="A40:H40"/>
    <mergeCell ref="A41:H41"/>
    <mergeCell ref="A42:H42"/>
    <mergeCell ref="I46:R46"/>
    <mergeCell ref="A54:H54"/>
    <mergeCell ref="A55:H55"/>
    <mergeCell ref="A56:H56"/>
    <mergeCell ref="I60:R60"/>
    <mergeCell ref="A68:H68"/>
    <mergeCell ref="A69:H69"/>
    <mergeCell ref="A70:H70"/>
    <mergeCell ref="A71:H71"/>
    <mergeCell ref="A3:A4"/>
    <mergeCell ref="A18:A19"/>
    <mergeCell ref="A32:A33"/>
    <mergeCell ref="A46:A47"/>
    <mergeCell ref="A60:A61"/>
    <mergeCell ref="B3:B4"/>
    <mergeCell ref="B18:B19"/>
    <mergeCell ref="B32:B33"/>
    <mergeCell ref="B46:B47"/>
    <mergeCell ref="B60:B61"/>
    <mergeCell ref="C3:C4"/>
    <mergeCell ref="C18:C19"/>
    <mergeCell ref="C32:C33"/>
    <mergeCell ref="C46:C47"/>
    <mergeCell ref="C60:C61"/>
    <mergeCell ref="F3:F4"/>
    <mergeCell ref="F18:F19"/>
    <mergeCell ref="F32:F33"/>
    <mergeCell ref="F46:F47"/>
    <mergeCell ref="F60:F61"/>
    <mergeCell ref="G3:G4"/>
    <mergeCell ref="G18:G19"/>
    <mergeCell ref="G32:G33"/>
    <mergeCell ref="G46:G47"/>
    <mergeCell ref="G60:G61"/>
    <mergeCell ref="H3:H4"/>
    <mergeCell ref="H18:H19"/>
    <mergeCell ref="H32:H33"/>
    <mergeCell ref="H46:H47"/>
    <mergeCell ref="H60:H61"/>
    <mergeCell ref="D3:E4"/>
    <mergeCell ref="D18:E19"/>
    <mergeCell ref="D32:E33"/>
    <mergeCell ref="D46:E47"/>
    <mergeCell ref="D60:E61"/>
  </mergeCells>
  <printOptions horizontalCentered="1" verticalCentered="1"/>
  <pageMargins left="0" right="0" top="0.196850393700787" bottom="0.15748031496063" header="0.31496062992126" footer="0.31496062992126"/>
  <pageSetup paperSize="9" scale="53" orientation="portrait"/>
  <headerFooter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58"/>
  <sheetViews>
    <sheetView view="pageBreakPreview" zoomScale="85" zoomScaleNormal="85" workbookViewId="0">
      <selection activeCell="R57" sqref="A1:R57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0" width="12.1388888888889" style="8" customWidth="1"/>
    <col min="11" max="11" width="11.4259259259259" style="8" customWidth="1"/>
    <col min="12" max="12" width="12.712962962963" style="8" customWidth="1"/>
    <col min="13" max="13" width="15.712962962963" style="8" customWidth="1"/>
    <col min="14" max="14" width="13.712962962963" style="8" customWidth="1"/>
    <col min="15" max="15" width="13.4259259259259" style="8" customWidth="1"/>
    <col min="16" max="16" width="12" style="8" customWidth="1"/>
    <col min="17" max="17" width="13.4259259259259" customWidth="1"/>
    <col min="18" max="18" width="14.138888888888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147" t="s">
        <v>231</v>
      </c>
      <c r="B1" s="148"/>
      <c r="C1" s="149"/>
      <c r="D1" s="149"/>
      <c r="E1" s="149"/>
      <c r="F1" s="149"/>
      <c r="G1" s="149"/>
      <c r="I1" s="161"/>
      <c r="J1" s="161"/>
      <c r="K1" s="161"/>
      <c r="L1" s="162" t="s">
        <v>269</v>
      </c>
      <c r="M1" s="162"/>
      <c r="N1" s="163"/>
      <c r="O1" s="163" t="s">
        <v>270</v>
      </c>
      <c r="P1" s="62"/>
      <c r="Q1" s="61"/>
      <c r="R1" s="61"/>
    </row>
    <row r="2" ht="12.75" customHeight="1" spans="1:18">
      <c r="A2" s="150"/>
      <c r="B2" s="151"/>
      <c r="C2" s="152"/>
      <c r="D2" s="152"/>
      <c r="E2" s="152"/>
      <c r="F2" s="152"/>
      <c r="G2" s="152"/>
      <c r="H2" s="153"/>
      <c r="I2" s="164"/>
      <c r="J2" s="164"/>
      <c r="K2" s="164"/>
      <c r="L2" s="165" t="s">
        <v>286</v>
      </c>
      <c r="M2" s="165"/>
      <c r="N2" s="166"/>
      <c r="O2" s="166"/>
      <c r="P2" s="167"/>
      <c r="Q2" s="166"/>
      <c r="R2" s="166"/>
    </row>
    <row r="3" s="1" customFormat="1" ht="21" customHeight="1" spans="1:18">
      <c r="A3" s="100" t="s">
        <v>235</v>
      </c>
      <c r="B3" s="101" t="s">
        <v>236</v>
      </c>
      <c r="C3" s="102" t="s">
        <v>237</v>
      </c>
      <c r="D3" s="101" t="s">
        <v>238</v>
      </c>
      <c r="E3" s="101"/>
      <c r="F3" s="101" t="s">
        <v>239</v>
      </c>
      <c r="G3" s="103" t="s">
        <v>240</v>
      </c>
      <c r="H3" s="104" t="s">
        <v>241</v>
      </c>
      <c r="I3" s="125" t="s">
        <v>242</v>
      </c>
      <c r="J3" s="126"/>
      <c r="K3" s="126"/>
      <c r="L3" s="126"/>
      <c r="M3" s="126"/>
      <c r="N3" s="126"/>
      <c r="O3" s="126"/>
      <c r="P3" s="126"/>
      <c r="Q3" s="126"/>
      <c r="R3" s="130"/>
    </row>
    <row r="4" s="1" customFormat="1" ht="15.75" customHeight="1" spans="1:18">
      <c r="A4" s="105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131" t="s">
        <v>252</v>
      </c>
    </row>
    <row r="5" s="2" customFormat="1" ht="14.25" customHeight="1" spans="1:18">
      <c r="A5" s="154" t="s">
        <v>253</v>
      </c>
      <c r="B5" s="27"/>
      <c r="C5" s="27"/>
      <c r="D5" s="27"/>
      <c r="E5" s="27"/>
      <c r="F5" s="27"/>
      <c r="G5" s="27"/>
      <c r="H5" s="2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132" t="str">
        <f>IF(E5=40,(H5*G5*9.866)," ")</f>
        <v> </v>
      </c>
    </row>
    <row r="6" s="2" customFormat="1" ht="12" customHeight="1" spans="1:18">
      <c r="A6" s="155" t="s">
        <v>287</v>
      </c>
      <c r="B6" s="30"/>
      <c r="C6" s="31"/>
      <c r="D6" s="32"/>
      <c r="E6" s="32"/>
      <c r="F6" s="33"/>
      <c r="G6" s="33"/>
      <c r="H6" s="34"/>
      <c r="I6" s="66" t="str">
        <f t="shared" ref="I6:I11" si="0">IF(E6=6,(G6*H6*0.222)," ")</f>
        <v> </v>
      </c>
      <c r="J6" s="66" t="str">
        <f t="shared" ref="J6:J11" si="1">IF(E6=8,(H6*G6*0.395)," ")</f>
        <v> </v>
      </c>
      <c r="K6" s="66" t="str">
        <f t="shared" ref="K6:K11" si="2">IF(E6=10,(G6*H6*0.617)," ")</f>
        <v> </v>
      </c>
      <c r="L6" s="66" t="str">
        <f t="shared" ref="L6:L11" si="3">IF(E6=12,(H6*G6*0.888)," ")</f>
        <v> </v>
      </c>
      <c r="M6" s="66" t="str">
        <f t="shared" ref="M6:M11" si="4">IF(E6=14,(H6*G6*1.208)," ")</f>
        <v> </v>
      </c>
      <c r="N6" s="66" t="str">
        <f t="shared" ref="N6:N11" si="5">IF(E6=16,(H6*G6*1.578)," ")</f>
        <v> </v>
      </c>
      <c r="O6" s="66" t="str">
        <f t="shared" ref="O6:O11" si="6">IF(E6=20,(H6*G6*2.466)," ")</f>
        <v> </v>
      </c>
      <c r="P6" s="66" t="str">
        <f t="shared" ref="P6:P11" si="7">IF(E6=25,(H6*G6*3.854)," ")</f>
        <v> </v>
      </c>
      <c r="Q6" s="66" t="str">
        <f t="shared" ref="Q6:Q11" si="8">IF(E6=32,(H6*G6*6.314)," ")</f>
        <v> </v>
      </c>
      <c r="R6" s="132" t="str">
        <f t="shared" ref="R6:R11" si="9">IF(E6=40,(H6*G6*9.866)," ")</f>
        <v> </v>
      </c>
    </row>
    <row r="7" s="2" customFormat="1" ht="12" customHeight="1" spans="1:18">
      <c r="A7" s="156" t="s">
        <v>255</v>
      </c>
      <c r="B7" s="36"/>
      <c r="C7" s="33">
        <v>5</v>
      </c>
      <c r="D7" s="32" t="s">
        <v>256</v>
      </c>
      <c r="E7" s="32">
        <v>14</v>
      </c>
      <c r="F7" s="33">
        <v>3</v>
      </c>
      <c r="G7" s="33">
        <f t="shared" ref="G7:G9" si="10">F7*C7</f>
        <v>15</v>
      </c>
      <c r="H7" s="34">
        <f>3.41+50*0.014</f>
        <v>4.11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 t="str">
        <f t="shared" si="3"/>
        <v> </v>
      </c>
      <c r="M7" s="66">
        <f t="shared" si="4"/>
        <v>74.4732</v>
      </c>
      <c r="N7" s="66" t="str">
        <f t="shared" si="5"/>
        <v> 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132" t="str">
        <f t="shared" si="9"/>
        <v> </v>
      </c>
    </row>
    <row r="8" s="2" customFormat="1" ht="12" customHeight="1" spans="1:18">
      <c r="A8" s="156" t="s">
        <v>257</v>
      </c>
      <c r="B8" s="33"/>
      <c r="C8" s="33">
        <v>36</v>
      </c>
      <c r="D8" s="32" t="s">
        <v>256</v>
      </c>
      <c r="E8" s="32">
        <v>8</v>
      </c>
      <c r="F8" s="33">
        <v>3</v>
      </c>
      <c r="G8" s="33">
        <f t="shared" si="10"/>
        <v>108</v>
      </c>
      <c r="H8" s="34">
        <f>3.14*0.45+10*0.008</f>
        <v>1.493</v>
      </c>
      <c r="I8" s="66" t="str">
        <f t="shared" si="0"/>
        <v> </v>
      </c>
      <c r="J8" s="66">
        <f t="shared" si="1"/>
        <v>63.69138</v>
      </c>
      <c r="K8" s="66" t="str">
        <f t="shared" si="2"/>
        <v> </v>
      </c>
      <c r="L8" s="66" t="str">
        <f t="shared" si="3"/>
        <v> </v>
      </c>
      <c r="M8" s="66" t="str">
        <f t="shared" si="4"/>
        <v> </v>
      </c>
      <c r="N8" s="66" t="str">
        <f t="shared" si="5"/>
        <v> 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132" t="str">
        <f t="shared" si="9"/>
        <v> </v>
      </c>
    </row>
    <row r="9" s="2" customFormat="1" ht="12" customHeight="1" spans="1:18">
      <c r="A9" s="156" t="s">
        <v>258</v>
      </c>
      <c r="B9" s="36"/>
      <c r="C9" s="33">
        <v>36</v>
      </c>
      <c r="D9" s="32" t="s">
        <v>256</v>
      </c>
      <c r="E9" s="32">
        <v>8</v>
      </c>
      <c r="F9" s="33">
        <v>6</v>
      </c>
      <c r="G9" s="33">
        <f t="shared" si="10"/>
        <v>216</v>
      </c>
      <c r="H9" s="34">
        <f>0.45+10*0.008</f>
        <v>0.53</v>
      </c>
      <c r="I9" s="66" t="str">
        <f t="shared" si="0"/>
        <v> </v>
      </c>
      <c r="J9" s="66">
        <f t="shared" si="1"/>
        <v>45.2196</v>
      </c>
      <c r="K9" s="66" t="str">
        <f t="shared" si="2"/>
        <v> 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132" t="str">
        <f t="shared" si="9"/>
        <v> </v>
      </c>
    </row>
    <row r="10" s="2" customFormat="1" ht="12" customHeight="1" spans="1:18">
      <c r="A10" s="156"/>
      <c r="B10" s="36"/>
      <c r="C10" s="33"/>
      <c r="D10" s="32"/>
      <c r="E10" s="32"/>
      <c r="F10" s="33"/>
      <c r="G10" s="33"/>
      <c r="H10" s="34"/>
      <c r="I10" s="66" t="str">
        <f t="shared" si="0"/>
        <v> </v>
      </c>
      <c r="J10" s="66" t="str">
        <f t="shared" si="1"/>
        <v> </v>
      </c>
      <c r="K10" s="66" t="str">
        <f t="shared" si="2"/>
        <v> </v>
      </c>
      <c r="L10" s="66" t="str">
        <f t="shared" si="3"/>
        <v> 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132" t="str">
        <f t="shared" si="9"/>
        <v> </v>
      </c>
    </row>
    <row r="11" s="2" customFormat="1" ht="12" customHeight="1" spans="1:18">
      <c r="A11" s="157"/>
      <c r="B11" s="38"/>
      <c r="C11" s="38"/>
      <c r="D11" s="39"/>
      <c r="E11" s="39"/>
      <c r="F11" s="38"/>
      <c r="G11" s="38"/>
      <c r="H11" s="40"/>
      <c r="I11" s="66" t="str">
        <f t="shared" si="0"/>
        <v> 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132" t="str">
        <f t="shared" si="9"/>
        <v> </v>
      </c>
    </row>
    <row r="12" ht="17.25" customHeight="1" spans="1:21">
      <c r="A12" s="112" t="s">
        <v>259</v>
      </c>
      <c r="B12" s="42"/>
      <c r="C12" s="42"/>
      <c r="D12" s="42"/>
      <c r="E12" s="42"/>
      <c r="F12" s="42"/>
      <c r="G12" s="42"/>
      <c r="H12" s="43"/>
      <c r="I12" s="67">
        <v>0.222</v>
      </c>
      <c r="J12" s="68">
        <v>0.397</v>
      </c>
      <c r="K12" s="69">
        <v>0.617</v>
      </c>
      <c r="L12" s="69">
        <v>0.888</v>
      </c>
      <c r="M12" s="69">
        <v>1.208</v>
      </c>
      <c r="N12" s="68">
        <v>1.576</v>
      </c>
      <c r="O12" s="68">
        <v>2.47</v>
      </c>
      <c r="P12" s="69">
        <v>3.854</v>
      </c>
      <c r="Q12" s="69">
        <v>6.313</v>
      </c>
      <c r="R12" s="133">
        <v>9.866</v>
      </c>
      <c r="T12" s="83"/>
      <c r="U12" s="83"/>
    </row>
    <row r="13" ht="15" customHeight="1" spans="1:21">
      <c r="A13" s="113" t="s">
        <v>260</v>
      </c>
      <c r="B13" s="45"/>
      <c r="C13" s="45"/>
      <c r="D13" s="45"/>
      <c r="E13" s="45"/>
      <c r="F13" s="45"/>
      <c r="G13" s="45"/>
      <c r="H13" s="46"/>
      <c r="I13" s="70">
        <f>SUM(I5:I11)</f>
        <v>0</v>
      </c>
      <c r="J13" s="70">
        <f t="shared" ref="J13:R13" si="11">SUM(J5:J11)</f>
        <v>108.91098</v>
      </c>
      <c r="K13" s="70">
        <f t="shared" si="11"/>
        <v>0</v>
      </c>
      <c r="L13" s="70">
        <f t="shared" si="11"/>
        <v>0</v>
      </c>
      <c r="M13" s="70">
        <f t="shared" si="11"/>
        <v>74.4732</v>
      </c>
      <c r="N13" s="70">
        <f t="shared" si="11"/>
        <v>0</v>
      </c>
      <c r="O13" s="70">
        <f t="shared" si="11"/>
        <v>0</v>
      </c>
      <c r="P13" s="70">
        <f t="shared" si="11"/>
        <v>0</v>
      </c>
      <c r="Q13" s="70">
        <f t="shared" si="11"/>
        <v>0</v>
      </c>
      <c r="R13" s="134">
        <f t="shared" si="11"/>
        <v>0</v>
      </c>
      <c r="T13" s="83"/>
      <c r="U13" s="83"/>
    </row>
    <row r="14" s="3" customFormat="1" ht="16.5" customHeight="1" spans="1:21">
      <c r="A14" s="114" t="s">
        <v>261</v>
      </c>
      <c r="B14" s="48"/>
      <c r="C14" s="48"/>
      <c r="D14" s="48"/>
      <c r="E14" s="48"/>
      <c r="F14" s="48"/>
      <c r="G14" s="48"/>
      <c r="H14" s="49"/>
      <c r="I14" s="71"/>
      <c r="J14" s="72"/>
      <c r="K14" s="72"/>
      <c r="L14" s="72"/>
      <c r="M14" s="72"/>
      <c r="N14" s="72"/>
      <c r="O14" s="72"/>
      <c r="P14" s="71"/>
      <c r="Q14" s="71"/>
      <c r="R14" s="135">
        <f>(SUM(I13:R13))</f>
        <v>183.38418</v>
      </c>
      <c r="T14" s="86"/>
      <c r="U14" s="86"/>
    </row>
    <row r="15" hidden="1" spans="1:18">
      <c r="A15" s="158"/>
      <c r="B15" s="51"/>
      <c r="C15" s="52"/>
      <c r="D15" s="53"/>
      <c r="E15" s="53"/>
      <c r="F15" s="53"/>
      <c r="G15" s="52"/>
      <c r="H15" s="54"/>
      <c r="I15" s="75"/>
      <c r="J15" s="75"/>
      <c r="K15" s="75"/>
      <c r="L15" s="75"/>
      <c r="M15" s="75"/>
      <c r="N15" s="75"/>
      <c r="O15" s="75"/>
      <c r="P15" s="75"/>
      <c r="Q15" s="88" t="s">
        <v>262</v>
      </c>
      <c r="R15" s="169">
        <f>0.19*3*3.4</f>
        <v>1.938</v>
      </c>
    </row>
    <row r="16" hidden="1" spans="1:18">
      <c r="A16" s="158"/>
      <c r="B16" s="51"/>
      <c r="C16" s="52"/>
      <c r="D16" s="53"/>
      <c r="E16" s="53"/>
      <c r="F16" s="53"/>
      <c r="G16" s="52"/>
      <c r="H16" s="54"/>
      <c r="I16" s="75"/>
      <c r="J16" s="75"/>
      <c r="K16" s="75"/>
      <c r="L16" s="75"/>
      <c r="M16" s="75"/>
      <c r="N16" s="75"/>
      <c r="O16" s="75"/>
      <c r="P16" s="75"/>
      <c r="Q16" s="88" t="s">
        <v>263</v>
      </c>
      <c r="R16" s="170">
        <f>R14/R15</f>
        <v>94.625479876161</v>
      </c>
    </row>
    <row r="17" ht="15.15" spans="1:18">
      <c r="A17" s="158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/>
      <c r="P17" s="75"/>
      <c r="Q17" s="88"/>
      <c r="R17" s="171"/>
    </row>
    <row r="18" s="1" customFormat="1" ht="21" customHeight="1" spans="1:18">
      <c r="A18" s="116" t="s">
        <v>235</v>
      </c>
      <c r="B18" s="17" t="s">
        <v>236</v>
      </c>
      <c r="C18" s="18" t="s">
        <v>237</v>
      </c>
      <c r="D18" s="17" t="s">
        <v>238</v>
      </c>
      <c r="E18" s="17"/>
      <c r="F18" s="17" t="s">
        <v>239</v>
      </c>
      <c r="G18" s="19" t="s">
        <v>240</v>
      </c>
      <c r="H18" s="20" t="s">
        <v>241</v>
      </c>
      <c r="I18" s="63" t="s">
        <v>242</v>
      </c>
      <c r="J18" s="64"/>
      <c r="K18" s="64"/>
      <c r="L18" s="64"/>
      <c r="M18" s="64"/>
      <c r="N18" s="64"/>
      <c r="O18" s="64"/>
      <c r="P18" s="64"/>
      <c r="Q18" s="64"/>
      <c r="R18" s="139"/>
    </row>
    <row r="19" s="1" customFormat="1" ht="15.75" customHeight="1" spans="1:18">
      <c r="A19" s="105"/>
      <c r="B19" s="22"/>
      <c r="C19" s="23"/>
      <c r="D19" s="22"/>
      <c r="E19" s="22"/>
      <c r="F19" s="22"/>
      <c r="G19" s="24"/>
      <c r="H19" s="25"/>
      <c r="I19" s="65" t="s">
        <v>243</v>
      </c>
      <c r="J19" s="65" t="s">
        <v>244</v>
      </c>
      <c r="K19" s="65" t="s">
        <v>245</v>
      </c>
      <c r="L19" s="65" t="s">
        <v>246</v>
      </c>
      <c r="M19" s="65" t="s">
        <v>247</v>
      </c>
      <c r="N19" s="65" t="s">
        <v>248</v>
      </c>
      <c r="O19" s="65" t="s">
        <v>249</v>
      </c>
      <c r="P19" s="65" t="s">
        <v>250</v>
      </c>
      <c r="Q19" s="65" t="s">
        <v>251</v>
      </c>
      <c r="R19" s="131" t="s">
        <v>252</v>
      </c>
    </row>
    <row r="20" s="2" customFormat="1" ht="14.25" customHeight="1" spans="1:18">
      <c r="A20" s="154" t="s">
        <v>253</v>
      </c>
      <c r="B20" s="27"/>
      <c r="C20" s="27"/>
      <c r="D20" s="27"/>
      <c r="E20" s="27"/>
      <c r="F20" s="27"/>
      <c r="G20" s="27"/>
      <c r="H20" s="28"/>
      <c r="I20" s="66" t="str">
        <f>IF(E20=6,(G20*H20*0.222)," ")</f>
        <v> </v>
      </c>
      <c r="J20" s="66" t="str">
        <f>IF(E20=8,(H20*G20*0.395)," ")</f>
        <v> </v>
      </c>
      <c r="K20" s="66" t="str">
        <f>IF(E20=10,(G20*H20*0.617)," ")</f>
        <v> </v>
      </c>
      <c r="L20" s="66" t="str">
        <f>IF(E20=12,(H20*G20*0.888)," ")</f>
        <v> </v>
      </c>
      <c r="M20" s="66" t="str">
        <f>IF(E20=14,(H20*G20*1.208)," ")</f>
        <v> </v>
      </c>
      <c r="N20" s="66" t="str">
        <f>IF(E20=16,(H20*G20*1.578)," ")</f>
        <v> </v>
      </c>
      <c r="O20" s="66" t="str">
        <f>IF(E20=20,(H20*G20*2.466)," ")</f>
        <v> </v>
      </c>
      <c r="P20" s="66" t="str">
        <f>IF(E20=25,(H20*G20*3.854)," ")</f>
        <v> </v>
      </c>
      <c r="Q20" s="66" t="str">
        <f>IF(E20=32,(H20*G20*6.314)," ")</f>
        <v> </v>
      </c>
      <c r="R20" s="132" t="str">
        <f>IF(E20=40,(H20*G20*9.866)," ")</f>
        <v> </v>
      </c>
    </row>
    <row r="21" s="2" customFormat="1" ht="12" customHeight="1" spans="1:18">
      <c r="A21" s="155" t="s">
        <v>289</v>
      </c>
      <c r="B21" s="30"/>
      <c r="C21" s="31"/>
      <c r="D21" s="32"/>
      <c r="E21" s="32"/>
      <c r="F21" s="33"/>
      <c r="G21" s="33"/>
      <c r="H21" s="34"/>
      <c r="I21" s="66" t="str">
        <f t="shared" ref="I21:I25" si="12">IF(E21=6,(G21*H21*0.222)," ")</f>
        <v> </v>
      </c>
      <c r="J21" s="66" t="str">
        <f t="shared" ref="J21:J25" si="13">IF(E21=8,(H21*G21*0.395)," ")</f>
        <v> </v>
      </c>
      <c r="K21" s="66" t="str">
        <f t="shared" ref="K21:K25" si="14">IF(E21=10,(G21*H21*0.617)," ")</f>
        <v> </v>
      </c>
      <c r="L21" s="66" t="str">
        <f t="shared" ref="L21:L25" si="15">IF(E21=12,(H21*G21*0.888)," ")</f>
        <v> </v>
      </c>
      <c r="M21" s="66" t="str">
        <f t="shared" ref="M21:M25" si="16">IF(E21=14,(H21*G21*1.208)," ")</f>
        <v> </v>
      </c>
      <c r="N21" s="66" t="str">
        <f t="shared" ref="N21:N25" si="17">IF(E21=16,(H21*G21*1.578)," ")</f>
        <v> </v>
      </c>
      <c r="O21" s="66" t="str">
        <f t="shared" ref="O21:O25" si="18">IF(E21=20,(H21*G21*2.466)," ")</f>
        <v> </v>
      </c>
      <c r="P21" s="66" t="str">
        <f t="shared" ref="P21:P25" si="19">IF(E21=25,(H21*G21*3.854)," ")</f>
        <v> </v>
      </c>
      <c r="Q21" s="66" t="str">
        <f t="shared" ref="Q21:Q25" si="20">IF(E21=32,(H21*G21*6.314)," ")</f>
        <v> </v>
      </c>
      <c r="R21" s="132" t="str">
        <f t="shared" ref="R21:R25" si="21">IF(E21=40,(H21*G21*9.866)," ")</f>
        <v> </v>
      </c>
    </row>
    <row r="22" s="2" customFormat="1" ht="12" customHeight="1" spans="1:18">
      <c r="A22" s="156" t="s">
        <v>255</v>
      </c>
      <c r="B22" s="36"/>
      <c r="C22" s="33">
        <v>10</v>
      </c>
      <c r="D22" s="32" t="s">
        <v>256</v>
      </c>
      <c r="E22" s="32">
        <v>14</v>
      </c>
      <c r="F22" s="33">
        <v>2</v>
      </c>
      <c r="G22" s="33">
        <f t="shared" ref="G22:G23" si="22">F22*C22</f>
        <v>20</v>
      </c>
      <c r="H22" s="34">
        <f>3.41+50*0.014</f>
        <v>4.11</v>
      </c>
      <c r="I22" s="66" t="str">
        <f t="shared" si="12"/>
        <v> </v>
      </c>
      <c r="J22" s="66" t="str">
        <f t="shared" si="13"/>
        <v> </v>
      </c>
      <c r="K22" s="66" t="str">
        <f t="shared" si="14"/>
        <v> </v>
      </c>
      <c r="L22" s="66" t="str">
        <f t="shared" si="15"/>
        <v> </v>
      </c>
      <c r="M22" s="66">
        <f t="shared" si="16"/>
        <v>99.2976</v>
      </c>
      <c r="N22" s="66" t="str">
        <f t="shared" si="17"/>
        <v> </v>
      </c>
      <c r="O22" s="66" t="str">
        <f t="shared" si="18"/>
        <v> </v>
      </c>
      <c r="P22" s="66" t="str">
        <f t="shared" si="19"/>
        <v> </v>
      </c>
      <c r="Q22" s="66" t="str">
        <f t="shared" si="20"/>
        <v> </v>
      </c>
      <c r="R22" s="132" t="str">
        <f t="shared" si="21"/>
        <v> </v>
      </c>
    </row>
    <row r="23" s="2" customFormat="1" ht="12" customHeight="1" spans="1:18">
      <c r="A23" s="156" t="s">
        <v>265</v>
      </c>
      <c r="B23" s="33"/>
      <c r="C23" s="33">
        <v>36</v>
      </c>
      <c r="D23" s="32" t="s">
        <v>256</v>
      </c>
      <c r="E23" s="32">
        <v>8</v>
      </c>
      <c r="F23" s="33">
        <v>2</v>
      </c>
      <c r="G23" s="33">
        <f t="shared" si="22"/>
        <v>72</v>
      </c>
      <c r="H23" s="34">
        <f>0.25*4+0.4*3+10*0.008*4</f>
        <v>2.52</v>
      </c>
      <c r="I23" s="66" t="str">
        <f t="shared" si="12"/>
        <v> </v>
      </c>
      <c r="J23" s="66">
        <f t="shared" si="13"/>
        <v>71.6688</v>
      </c>
      <c r="K23" s="66" t="str">
        <f t="shared" si="14"/>
        <v> </v>
      </c>
      <c r="L23" s="66" t="str">
        <f t="shared" si="15"/>
        <v> </v>
      </c>
      <c r="M23" s="66" t="str">
        <f t="shared" si="16"/>
        <v> </v>
      </c>
      <c r="N23" s="66" t="str">
        <f t="shared" si="17"/>
        <v> 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132" t="str">
        <f t="shared" si="21"/>
        <v> </v>
      </c>
    </row>
    <row r="24" s="2" customFormat="1" ht="12" customHeight="1" spans="1:18">
      <c r="A24" s="156"/>
      <c r="B24" s="36"/>
      <c r="C24" s="33"/>
      <c r="D24" s="32"/>
      <c r="E24" s="32"/>
      <c r="F24" s="33"/>
      <c r="G24" s="33"/>
      <c r="H24" s="34"/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 t="str">
        <f t="shared" si="15"/>
        <v> 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132" t="str">
        <f t="shared" si="21"/>
        <v> </v>
      </c>
    </row>
    <row r="25" s="2" customFormat="1" ht="12" customHeight="1" spans="1:18">
      <c r="A25" s="157"/>
      <c r="B25" s="38"/>
      <c r="C25" s="38"/>
      <c r="D25" s="39"/>
      <c r="E25" s="39"/>
      <c r="F25" s="38"/>
      <c r="G25" s="38"/>
      <c r="H25" s="40"/>
      <c r="I25" s="66" t="str">
        <f t="shared" si="12"/>
        <v> </v>
      </c>
      <c r="J25" s="66" t="str">
        <f t="shared" si="13"/>
        <v> </v>
      </c>
      <c r="K25" s="66" t="str">
        <f t="shared" si="14"/>
        <v> 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132" t="str">
        <f t="shared" si="21"/>
        <v> </v>
      </c>
    </row>
    <row r="26" ht="17.25" customHeight="1" spans="1:21">
      <c r="A26" s="112" t="s">
        <v>259</v>
      </c>
      <c r="B26" s="42"/>
      <c r="C26" s="42"/>
      <c r="D26" s="42"/>
      <c r="E26" s="42"/>
      <c r="F26" s="42"/>
      <c r="G26" s="42"/>
      <c r="H26" s="43"/>
      <c r="I26" s="67">
        <v>0.222</v>
      </c>
      <c r="J26" s="68">
        <v>0.397</v>
      </c>
      <c r="K26" s="69">
        <v>0.617</v>
      </c>
      <c r="L26" s="69">
        <v>0.888</v>
      </c>
      <c r="M26" s="69">
        <v>1.208</v>
      </c>
      <c r="N26" s="68">
        <v>1.576</v>
      </c>
      <c r="O26" s="68">
        <v>2.47</v>
      </c>
      <c r="P26" s="69">
        <v>3.854</v>
      </c>
      <c r="Q26" s="69">
        <v>6.313</v>
      </c>
      <c r="R26" s="133">
        <v>9.866</v>
      </c>
      <c r="T26" s="83"/>
      <c r="U26" s="83"/>
    </row>
    <row r="27" ht="15" customHeight="1" spans="1:21">
      <c r="A27" s="113" t="s">
        <v>260</v>
      </c>
      <c r="B27" s="45"/>
      <c r="C27" s="45"/>
      <c r="D27" s="45"/>
      <c r="E27" s="45"/>
      <c r="F27" s="45"/>
      <c r="G27" s="45"/>
      <c r="H27" s="46"/>
      <c r="I27" s="70">
        <f>SUM(I20:I25)</f>
        <v>0</v>
      </c>
      <c r="J27" s="70">
        <f t="shared" ref="J27:R27" si="23">SUM(J20:J25)</f>
        <v>71.6688</v>
      </c>
      <c r="K27" s="70">
        <f t="shared" si="23"/>
        <v>0</v>
      </c>
      <c r="L27" s="70">
        <f t="shared" si="23"/>
        <v>0</v>
      </c>
      <c r="M27" s="70">
        <f t="shared" si="23"/>
        <v>99.2976</v>
      </c>
      <c r="N27" s="70">
        <f t="shared" si="23"/>
        <v>0</v>
      </c>
      <c r="O27" s="70">
        <f t="shared" si="23"/>
        <v>0</v>
      </c>
      <c r="P27" s="70">
        <f t="shared" si="23"/>
        <v>0</v>
      </c>
      <c r="Q27" s="70">
        <f t="shared" si="23"/>
        <v>0</v>
      </c>
      <c r="R27" s="134">
        <f t="shared" si="23"/>
        <v>0</v>
      </c>
      <c r="T27" s="83"/>
      <c r="U27" s="83"/>
    </row>
    <row r="28" s="3" customFormat="1" ht="16.5" customHeight="1" spans="1:21">
      <c r="A28" s="114" t="s">
        <v>261</v>
      </c>
      <c r="B28" s="48"/>
      <c r="C28" s="48"/>
      <c r="D28" s="48"/>
      <c r="E28" s="48"/>
      <c r="F28" s="48"/>
      <c r="G28" s="48"/>
      <c r="H28" s="49"/>
      <c r="I28" s="71"/>
      <c r="J28" s="72"/>
      <c r="K28" s="72"/>
      <c r="L28" s="72"/>
      <c r="M28" s="72"/>
      <c r="N28" s="72"/>
      <c r="O28" s="72"/>
      <c r="P28" s="71"/>
      <c r="Q28" s="71"/>
      <c r="R28" s="135">
        <f>(SUM(I27:R27))</f>
        <v>170.9664</v>
      </c>
      <c r="T28" s="172">
        <f>R14+R28+R42+R56</f>
        <v>1080.99414</v>
      </c>
      <c r="U28" s="86"/>
    </row>
    <row r="29" hidden="1" spans="1:18">
      <c r="A29" s="158"/>
      <c r="B29" s="51"/>
      <c r="C29" s="52"/>
      <c r="D29" s="53"/>
      <c r="E29" s="53"/>
      <c r="F29" s="53"/>
      <c r="G29" s="52"/>
      <c r="H29" s="54"/>
      <c r="I29" s="75"/>
      <c r="J29" s="75"/>
      <c r="K29" s="75"/>
      <c r="L29" s="75"/>
      <c r="M29" s="75"/>
      <c r="N29" s="75"/>
      <c r="O29" s="75"/>
      <c r="P29" s="75"/>
      <c r="Q29" s="88" t="s">
        <v>262</v>
      </c>
      <c r="R29" s="169">
        <f>0.45*0.3*3.41*2</f>
        <v>0.9207</v>
      </c>
    </row>
    <row r="30" hidden="1" spans="1:18">
      <c r="A30" s="158"/>
      <c r="B30" s="51"/>
      <c r="C30" s="52"/>
      <c r="D30" s="53"/>
      <c r="E30" s="53"/>
      <c r="F30" s="53"/>
      <c r="G30" s="52"/>
      <c r="H30" s="54"/>
      <c r="I30" s="75"/>
      <c r="J30" s="75"/>
      <c r="K30" s="75"/>
      <c r="L30" s="75"/>
      <c r="M30" s="75"/>
      <c r="N30" s="75"/>
      <c r="O30" s="75"/>
      <c r="P30" s="75"/>
      <c r="Q30" s="88" t="s">
        <v>263</v>
      </c>
      <c r="R30" s="170">
        <f>R28/R29</f>
        <v>185.691756272401</v>
      </c>
    </row>
    <row r="31" ht="15.15" spans="1:18">
      <c r="A31" s="158"/>
      <c r="B31" s="51"/>
      <c r="C31" s="52"/>
      <c r="D31" s="53"/>
      <c r="E31" s="53"/>
      <c r="F31" s="53"/>
      <c r="G31" s="52"/>
      <c r="H31" s="54"/>
      <c r="I31" s="75"/>
      <c r="J31" s="75"/>
      <c r="K31" s="75"/>
      <c r="L31" s="75"/>
      <c r="M31" s="75"/>
      <c r="N31" s="75"/>
      <c r="O31" s="75"/>
      <c r="P31" s="75"/>
      <c r="Q31" s="88"/>
      <c r="R31" s="171"/>
    </row>
    <row r="32" s="1" customFormat="1" ht="21" customHeight="1" spans="1:18">
      <c r="A32" s="116" t="s">
        <v>235</v>
      </c>
      <c r="B32" s="17" t="s">
        <v>236</v>
      </c>
      <c r="C32" s="18" t="s">
        <v>237</v>
      </c>
      <c r="D32" s="17" t="s">
        <v>238</v>
      </c>
      <c r="E32" s="17"/>
      <c r="F32" s="17" t="s">
        <v>239</v>
      </c>
      <c r="G32" s="19" t="s">
        <v>240</v>
      </c>
      <c r="H32" s="20" t="s">
        <v>241</v>
      </c>
      <c r="I32" s="63" t="s">
        <v>242</v>
      </c>
      <c r="J32" s="64"/>
      <c r="K32" s="64"/>
      <c r="L32" s="64"/>
      <c r="M32" s="64"/>
      <c r="N32" s="64"/>
      <c r="O32" s="64"/>
      <c r="P32" s="64"/>
      <c r="Q32" s="64"/>
      <c r="R32" s="139"/>
    </row>
    <row r="33" s="1" customFormat="1" ht="15.75" customHeight="1" spans="1:18">
      <c r="A33" s="105"/>
      <c r="B33" s="22"/>
      <c r="C33" s="23"/>
      <c r="D33" s="22"/>
      <c r="E33" s="22"/>
      <c r="F33" s="22"/>
      <c r="G33" s="24"/>
      <c r="H33" s="25"/>
      <c r="I33" s="65" t="s">
        <v>243</v>
      </c>
      <c r="J33" s="65" t="s">
        <v>244</v>
      </c>
      <c r="K33" s="65" t="s">
        <v>245</v>
      </c>
      <c r="L33" s="65" t="s">
        <v>246</v>
      </c>
      <c r="M33" s="65" t="s">
        <v>247</v>
      </c>
      <c r="N33" s="65" t="s">
        <v>248</v>
      </c>
      <c r="O33" s="65" t="s">
        <v>249</v>
      </c>
      <c r="P33" s="65" t="s">
        <v>250</v>
      </c>
      <c r="Q33" s="65" t="s">
        <v>251</v>
      </c>
      <c r="R33" s="131" t="s">
        <v>252</v>
      </c>
    </row>
    <row r="34" s="2" customFormat="1" ht="14.25" customHeight="1" spans="1:18">
      <c r="A34" s="154" t="s">
        <v>253</v>
      </c>
      <c r="B34" s="27"/>
      <c r="C34" s="27"/>
      <c r="D34" s="27"/>
      <c r="E34" s="27"/>
      <c r="F34" s="27"/>
      <c r="G34" s="27"/>
      <c r="H34" s="28"/>
      <c r="I34" s="66" t="str">
        <f>IF(E34=6,(G34*H34*0.222)," ")</f>
        <v> </v>
      </c>
      <c r="J34" s="66" t="str">
        <f>IF(E34=8,(H34*G34*0.395)," ")</f>
        <v> </v>
      </c>
      <c r="K34" s="66" t="str">
        <f>IF(E34=10,(G34*H34*0.617)," ")</f>
        <v> </v>
      </c>
      <c r="L34" s="66" t="str">
        <f>IF(E34=12,(H34*G34*0.888)," ")</f>
        <v> </v>
      </c>
      <c r="M34" s="66" t="str">
        <f>IF(E34=14,(H34*G34*1.208)," ")</f>
        <v> </v>
      </c>
      <c r="N34" s="66" t="str">
        <f>IF(E34=16,(H34*G34*1.578)," ")</f>
        <v> </v>
      </c>
      <c r="O34" s="66" t="str">
        <f>IF(E34=20,(H34*G34*2.466)," ")</f>
        <v> </v>
      </c>
      <c r="P34" s="66" t="str">
        <f>IF(E34=25,(H34*G34*3.854)," ")</f>
        <v> </v>
      </c>
      <c r="Q34" s="66" t="str">
        <f>IF(E34=32,(H34*G34*6.314)," ")</f>
        <v> </v>
      </c>
      <c r="R34" s="132" t="str">
        <f>IF(E34=40,(H34*G34*9.866)," ")</f>
        <v> </v>
      </c>
    </row>
    <row r="35" s="2" customFormat="1" ht="12" customHeight="1" spans="1:18">
      <c r="A35" s="155" t="s">
        <v>294</v>
      </c>
      <c r="B35" s="30"/>
      <c r="C35" s="31"/>
      <c r="D35" s="32"/>
      <c r="E35" s="32"/>
      <c r="F35" s="33"/>
      <c r="G35" s="33"/>
      <c r="H35" s="34"/>
      <c r="I35" s="66" t="str">
        <f t="shared" ref="I35:I39" si="24">IF(E35=6,(G35*H35*0.222)," ")</f>
        <v> </v>
      </c>
      <c r="J35" s="66" t="str">
        <f t="shared" ref="J35:J39" si="25">IF(E35=8,(H35*G35*0.395)," ")</f>
        <v> </v>
      </c>
      <c r="K35" s="66" t="str">
        <f t="shared" ref="K35:K39" si="26">IF(E35=10,(G35*H35*0.617)," ")</f>
        <v> </v>
      </c>
      <c r="L35" s="66" t="str">
        <f t="shared" ref="L35:L39" si="27">IF(E35=12,(H35*G35*0.888)," ")</f>
        <v> </v>
      </c>
      <c r="M35" s="66" t="str">
        <f t="shared" ref="M35:M39" si="28">IF(E35=14,(H35*G35*1.208)," ")</f>
        <v> </v>
      </c>
      <c r="N35" s="66" t="str">
        <f t="shared" ref="N35:N39" si="29">IF(E35=16,(H35*G35*1.578)," ")</f>
        <v> </v>
      </c>
      <c r="O35" s="66" t="str">
        <f t="shared" ref="O35:O39" si="30">IF(E35=20,(H35*G35*2.466)," ")</f>
        <v> </v>
      </c>
      <c r="P35" s="66" t="str">
        <f t="shared" ref="P35:P39" si="31">IF(E35=25,(H35*G35*3.854)," ")</f>
        <v> </v>
      </c>
      <c r="Q35" s="66" t="str">
        <f t="shared" ref="Q35:Q39" si="32">IF(E35=32,(H35*G35*6.314)," ")</f>
        <v> </v>
      </c>
      <c r="R35" s="132" t="str">
        <f t="shared" ref="R35:R39" si="33">IF(E35=40,(H35*G35*9.866)," ")</f>
        <v> </v>
      </c>
    </row>
    <row r="36" s="2" customFormat="1" ht="12" customHeight="1" spans="1:18">
      <c r="A36" s="156" t="s">
        <v>255</v>
      </c>
      <c r="B36" s="36"/>
      <c r="C36" s="33">
        <v>14</v>
      </c>
      <c r="D36" s="32" t="s">
        <v>256</v>
      </c>
      <c r="E36" s="32">
        <v>14</v>
      </c>
      <c r="F36" s="33">
        <v>3</v>
      </c>
      <c r="G36" s="33">
        <f t="shared" ref="G36:G37" si="34">F36*C36</f>
        <v>42</v>
      </c>
      <c r="H36" s="34">
        <f>3.41+50*0.014</f>
        <v>4.11</v>
      </c>
      <c r="I36" s="66" t="str">
        <f t="shared" si="24"/>
        <v> </v>
      </c>
      <c r="J36" s="66" t="str">
        <f t="shared" si="25"/>
        <v> </v>
      </c>
      <c r="K36" s="66" t="str">
        <f t="shared" si="26"/>
        <v> </v>
      </c>
      <c r="L36" s="66" t="str">
        <f t="shared" si="27"/>
        <v> </v>
      </c>
      <c r="M36" s="66">
        <f t="shared" si="28"/>
        <v>208.52496</v>
      </c>
      <c r="N36" s="66" t="str">
        <f t="shared" si="29"/>
        <v> </v>
      </c>
      <c r="O36" s="66" t="str">
        <f t="shared" si="30"/>
        <v> </v>
      </c>
      <c r="P36" s="66" t="str">
        <f t="shared" si="31"/>
        <v> </v>
      </c>
      <c r="Q36" s="66" t="str">
        <f t="shared" si="32"/>
        <v> </v>
      </c>
      <c r="R36" s="132" t="str">
        <f t="shared" si="33"/>
        <v> </v>
      </c>
    </row>
    <row r="37" s="2" customFormat="1" ht="12" customHeight="1" spans="1:18">
      <c r="A37" s="156" t="s">
        <v>265</v>
      </c>
      <c r="B37" s="33"/>
      <c r="C37" s="33">
        <v>36</v>
      </c>
      <c r="D37" s="32" t="s">
        <v>256</v>
      </c>
      <c r="E37" s="32">
        <v>8</v>
      </c>
      <c r="F37" s="33">
        <v>3</v>
      </c>
      <c r="G37" s="33">
        <f t="shared" si="34"/>
        <v>108</v>
      </c>
      <c r="H37" s="34">
        <f>0.25*6+0.57*3+10*0.008*6</f>
        <v>3.69</v>
      </c>
      <c r="I37" s="66" t="str">
        <f t="shared" si="24"/>
        <v> </v>
      </c>
      <c r="J37" s="66">
        <f t="shared" si="25"/>
        <v>157.4154</v>
      </c>
      <c r="K37" s="66" t="str">
        <f t="shared" si="26"/>
        <v> </v>
      </c>
      <c r="L37" s="66" t="str">
        <f t="shared" si="27"/>
        <v> </v>
      </c>
      <c r="M37" s="66" t="str">
        <f t="shared" si="28"/>
        <v> </v>
      </c>
      <c r="N37" s="66" t="str">
        <f t="shared" si="29"/>
        <v> </v>
      </c>
      <c r="O37" s="66" t="str">
        <f t="shared" si="30"/>
        <v> </v>
      </c>
      <c r="P37" s="66" t="str">
        <f t="shared" si="31"/>
        <v> </v>
      </c>
      <c r="Q37" s="66" t="str">
        <f t="shared" si="32"/>
        <v> </v>
      </c>
      <c r="R37" s="132" t="str">
        <f t="shared" si="33"/>
        <v> </v>
      </c>
    </row>
    <row r="38" s="2" customFormat="1" ht="12" customHeight="1" spans="1:18">
      <c r="A38" s="156"/>
      <c r="B38" s="36"/>
      <c r="C38" s="33"/>
      <c r="D38" s="32"/>
      <c r="E38" s="32"/>
      <c r="F38" s="33"/>
      <c r="G38" s="33"/>
      <c r="H38" s="34"/>
      <c r="I38" s="66" t="str">
        <f t="shared" si="24"/>
        <v> </v>
      </c>
      <c r="J38" s="66" t="str">
        <f t="shared" si="25"/>
        <v> </v>
      </c>
      <c r="K38" s="66" t="str">
        <f t="shared" si="26"/>
        <v> </v>
      </c>
      <c r="L38" s="66" t="str">
        <f t="shared" si="27"/>
        <v> </v>
      </c>
      <c r="M38" s="66" t="str">
        <f t="shared" si="28"/>
        <v> </v>
      </c>
      <c r="N38" s="66" t="str">
        <f t="shared" si="29"/>
        <v> </v>
      </c>
      <c r="O38" s="66" t="str">
        <f t="shared" si="30"/>
        <v> </v>
      </c>
      <c r="P38" s="66" t="str">
        <f t="shared" si="31"/>
        <v> </v>
      </c>
      <c r="Q38" s="66" t="str">
        <f t="shared" si="32"/>
        <v> </v>
      </c>
      <c r="R38" s="132" t="str">
        <f t="shared" si="33"/>
        <v> </v>
      </c>
    </row>
    <row r="39" s="2" customFormat="1" ht="12" customHeight="1" spans="1:18">
      <c r="A39" s="157"/>
      <c r="B39" s="38"/>
      <c r="C39" s="38"/>
      <c r="D39" s="39"/>
      <c r="E39" s="39"/>
      <c r="F39" s="38"/>
      <c r="G39" s="38"/>
      <c r="H39" s="40"/>
      <c r="I39" s="66" t="str">
        <f t="shared" si="24"/>
        <v> </v>
      </c>
      <c r="J39" s="66" t="str">
        <f t="shared" si="25"/>
        <v> </v>
      </c>
      <c r="K39" s="66" t="str">
        <f t="shared" si="26"/>
        <v> </v>
      </c>
      <c r="L39" s="66" t="str">
        <f t="shared" si="27"/>
        <v> </v>
      </c>
      <c r="M39" s="66" t="str">
        <f t="shared" si="28"/>
        <v> </v>
      </c>
      <c r="N39" s="66" t="str">
        <f t="shared" si="29"/>
        <v> </v>
      </c>
      <c r="O39" s="66" t="str">
        <f t="shared" si="30"/>
        <v> </v>
      </c>
      <c r="P39" s="66" t="str">
        <f t="shared" si="31"/>
        <v> </v>
      </c>
      <c r="Q39" s="66" t="str">
        <f t="shared" si="32"/>
        <v> </v>
      </c>
      <c r="R39" s="132" t="str">
        <f t="shared" si="33"/>
        <v> </v>
      </c>
    </row>
    <row r="40" ht="17.25" customHeight="1" spans="1:21">
      <c r="A40" s="112" t="s">
        <v>259</v>
      </c>
      <c r="B40" s="42"/>
      <c r="C40" s="42"/>
      <c r="D40" s="42"/>
      <c r="E40" s="42"/>
      <c r="F40" s="42"/>
      <c r="G40" s="42"/>
      <c r="H40" s="43"/>
      <c r="I40" s="67">
        <v>0.222</v>
      </c>
      <c r="J40" s="68">
        <v>0.397</v>
      </c>
      <c r="K40" s="69">
        <v>0.617</v>
      </c>
      <c r="L40" s="69">
        <v>0.888</v>
      </c>
      <c r="M40" s="69">
        <v>1.208</v>
      </c>
      <c r="N40" s="68">
        <v>1.576</v>
      </c>
      <c r="O40" s="68">
        <v>2.47</v>
      </c>
      <c r="P40" s="69">
        <v>3.854</v>
      </c>
      <c r="Q40" s="69">
        <v>6.313</v>
      </c>
      <c r="R40" s="133">
        <v>9.866</v>
      </c>
      <c r="T40" s="83"/>
      <c r="U40" s="83"/>
    </row>
    <row r="41" ht="15" customHeight="1" spans="1:21">
      <c r="A41" s="113" t="s">
        <v>260</v>
      </c>
      <c r="B41" s="45"/>
      <c r="C41" s="45"/>
      <c r="D41" s="45"/>
      <c r="E41" s="45"/>
      <c r="F41" s="45"/>
      <c r="G41" s="45"/>
      <c r="H41" s="46"/>
      <c r="I41" s="70">
        <f>SUM(I34:I39)</f>
        <v>0</v>
      </c>
      <c r="J41" s="70">
        <f t="shared" ref="J41:R41" si="35">SUM(J34:J39)</f>
        <v>157.4154</v>
      </c>
      <c r="K41" s="70">
        <f t="shared" si="35"/>
        <v>0</v>
      </c>
      <c r="L41" s="70">
        <f t="shared" si="35"/>
        <v>0</v>
      </c>
      <c r="M41" s="70">
        <f t="shared" si="35"/>
        <v>208.52496</v>
      </c>
      <c r="N41" s="70">
        <f t="shared" si="35"/>
        <v>0</v>
      </c>
      <c r="O41" s="70">
        <f t="shared" si="35"/>
        <v>0</v>
      </c>
      <c r="P41" s="70">
        <f t="shared" si="35"/>
        <v>0</v>
      </c>
      <c r="Q41" s="70">
        <f t="shared" si="35"/>
        <v>0</v>
      </c>
      <c r="R41" s="134">
        <f t="shared" si="35"/>
        <v>0</v>
      </c>
      <c r="T41" s="83"/>
      <c r="U41" s="83"/>
    </row>
    <row r="42" s="3" customFormat="1" ht="16.5" customHeight="1" spans="1:21">
      <c r="A42" s="114" t="s">
        <v>261</v>
      </c>
      <c r="B42" s="48"/>
      <c r="C42" s="48"/>
      <c r="D42" s="48"/>
      <c r="E42" s="48"/>
      <c r="F42" s="48"/>
      <c r="G42" s="48"/>
      <c r="H42" s="49"/>
      <c r="I42" s="71"/>
      <c r="J42" s="72"/>
      <c r="K42" s="72"/>
      <c r="L42" s="72"/>
      <c r="M42" s="72"/>
      <c r="N42" s="72"/>
      <c r="O42" s="72"/>
      <c r="P42" s="71"/>
      <c r="Q42" s="71"/>
      <c r="R42" s="135">
        <f>(SUM(I41:R41))</f>
        <v>365.94036</v>
      </c>
      <c r="T42" s="86"/>
      <c r="U42" s="86"/>
    </row>
    <row r="43" hidden="1" spans="1:18">
      <c r="A43" s="158"/>
      <c r="B43" s="51"/>
      <c r="C43" s="52"/>
      <c r="D43" s="53"/>
      <c r="E43" s="53"/>
      <c r="F43" s="53"/>
      <c r="G43" s="52"/>
      <c r="H43" s="54"/>
      <c r="I43" s="75"/>
      <c r="J43" s="75"/>
      <c r="K43" s="75"/>
      <c r="L43" s="75"/>
      <c r="M43" s="75"/>
      <c r="N43" s="75"/>
      <c r="O43" s="75"/>
      <c r="P43" s="75"/>
      <c r="Q43" s="88" t="s">
        <v>262</v>
      </c>
      <c r="R43" s="169">
        <f>0.62*0.3*3.41*3</f>
        <v>1.90278</v>
      </c>
    </row>
    <row r="44" hidden="1" spans="1:18">
      <c r="A44" s="158"/>
      <c r="B44" s="51"/>
      <c r="C44" s="52"/>
      <c r="D44" s="53"/>
      <c r="E44" s="53"/>
      <c r="F44" s="53"/>
      <c r="G44" s="52"/>
      <c r="H44" s="54"/>
      <c r="I44" s="75"/>
      <c r="J44" s="75"/>
      <c r="K44" s="75"/>
      <c r="L44" s="75"/>
      <c r="M44" s="75"/>
      <c r="N44" s="75"/>
      <c r="O44" s="75"/>
      <c r="P44" s="75"/>
      <c r="Q44" s="88" t="s">
        <v>263</v>
      </c>
      <c r="R44" s="170">
        <f>R42/R43</f>
        <v>192.318796707975</v>
      </c>
    </row>
    <row r="45" ht="15.15" spans="1:18">
      <c r="A45" s="158"/>
      <c r="B45" s="51"/>
      <c r="C45" s="52"/>
      <c r="D45" s="53"/>
      <c r="E45" s="53"/>
      <c r="F45" s="53"/>
      <c r="G45" s="52"/>
      <c r="H45" s="54"/>
      <c r="I45" s="75"/>
      <c r="J45" s="75"/>
      <c r="K45" s="75"/>
      <c r="L45" s="75"/>
      <c r="M45" s="75"/>
      <c r="N45" s="75"/>
      <c r="O45" s="75"/>
      <c r="P45" s="75"/>
      <c r="Q45" s="88"/>
      <c r="R45" s="171"/>
    </row>
    <row r="46" s="1" customFormat="1" ht="21" customHeight="1" spans="1:18">
      <c r="A46" s="116" t="s">
        <v>235</v>
      </c>
      <c r="B46" s="17" t="s">
        <v>236</v>
      </c>
      <c r="C46" s="18" t="s">
        <v>237</v>
      </c>
      <c r="D46" s="17" t="s">
        <v>238</v>
      </c>
      <c r="E46" s="17"/>
      <c r="F46" s="17" t="s">
        <v>239</v>
      </c>
      <c r="G46" s="19" t="s">
        <v>240</v>
      </c>
      <c r="H46" s="20" t="s">
        <v>241</v>
      </c>
      <c r="I46" s="63" t="s">
        <v>242</v>
      </c>
      <c r="J46" s="64"/>
      <c r="K46" s="64"/>
      <c r="L46" s="64"/>
      <c r="M46" s="64"/>
      <c r="N46" s="64"/>
      <c r="O46" s="64"/>
      <c r="P46" s="64"/>
      <c r="Q46" s="64"/>
      <c r="R46" s="139"/>
    </row>
    <row r="47" s="1" customFormat="1" ht="15.75" customHeight="1" spans="1:18">
      <c r="A47" s="105"/>
      <c r="B47" s="22"/>
      <c r="C47" s="23"/>
      <c r="D47" s="22"/>
      <c r="E47" s="22"/>
      <c r="F47" s="22"/>
      <c r="G47" s="24"/>
      <c r="H47" s="25"/>
      <c r="I47" s="65" t="s">
        <v>243</v>
      </c>
      <c r="J47" s="65" t="s">
        <v>244</v>
      </c>
      <c r="K47" s="65" t="s">
        <v>245</v>
      </c>
      <c r="L47" s="65" t="s">
        <v>246</v>
      </c>
      <c r="M47" s="65" t="s">
        <v>247</v>
      </c>
      <c r="N47" s="65" t="s">
        <v>248</v>
      </c>
      <c r="O47" s="65" t="s">
        <v>249</v>
      </c>
      <c r="P47" s="65" t="s">
        <v>250</v>
      </c>
      <c r="Q47" s="65" t="s">
        <v>251</v>
      </c>
      <c r="R47" s="131" t="s">
        <v>252</v>
      </c>
    </row>
    <row r="48" s="2" customFormat="1" ht="14.25" customHeight="1" spans="1:18">
      <c r="A48" s="154" t="s">
        <v>253</v>
      </c>
      <c r="B48" s="27"/>
      <c r="C48" s="27"/>
      <c r="D48" s="27"/>
      <c r="E48" s="27"/>
      <c r="F48" s="27"/>
      <c r="G48" s="27"/>
      <c r="H48" s="28"/>
      <c r="I48" s="66" t="str">
        <f>IF(E48=6,(G48*H48*0.222)," ")</f>
        <v> </v>
      </c>
      <c r="J48" s="66" t="str">
        <f>IF(E48=8,(H48*G48*0.395)," ")</f>
        <v> </v>
      </c>
      <c r="K48" s="66" t="str">
        <f>IF(E48=10,(G48*H48*0.617)," ")</f>
        <v> </v>
      </c>
      <c r="L48" s="66" t="str">
        <f>IF(E48=12,(H48*G48*0.888)," ")</f>
        <v> </v>
      </c>
      <c r="M48" s="66" t="str">
        <f>IF(E48=14,(H48*G48*1.208)," ")</f>
        <v> </v>
      </c>
      <c r="N48" s="66" t="str">
        <f>IF(E48=16,(H48*G48*1.578)," ")</f>
        <v> </v>
      </c>
      <c r="O48" s="66" t="str">
        <f>IF(E48=20,(H48*G48*2.466)," ")</f>
        <v> </v>
      </c>
      <c r="P48" s="66" t="str">
        <f>IF(E48=25,(H48*G48*3.854)," ")</f>
        <v> </v>
      </c>
      <c r="Q48" s="66" t="str">
        <f>IF(E48=32,(H48*G48*6.314)," ")</f>
        <v> </v>
      </c>
      <c r="R48" s="132" t="str">
        <f>IF(E48=40,(H48*G48*9.866)," ")</f>
        <v> </v>
      </c>
    </row>
    <row r="49" s="2" customFormat="1" ht="12" customHeight="1" spans="1:18">
      <c r="A49" s="155" t="s">
        <v>295</v>
      </c>
      <c r="B49" s="30"/>
      <c r="C49" s="31"/>
      <c r="D49" s="32"/>
      <c r="E49" s="32"/>
      <c r="F49" s="33"/>
      <c r="G49" s="33"/>
      <c r="H49" s="34"/>
      <c r="I49" s="66" t="str">
        <f t="shared" ref="I49:I53" si="36">IF(E49=6,(G49*H49*0.222)," ")</f>
        <v> </v>
      </c>
      <c r="J49" s="66" t="str">
        <f t="shared" ref="J49:J53" si="37">IF(E49=8,(H49*G49*0.395)," ")</f>
        <v> </v>
      </c>
      <c r="K49" s="66" t="str">
        <f t="shared" ref="K49:K53" si="38">IF(E49=10,(G49*H49*0.617)," ")</f>
        <v> </v>
      </c>
      <c r="L49" s="66" t="str">
        <f t="shared" ref="L49:L53" si="39">IF(E49=12,(H49*G49*0.888)," ")</f>
        <v> </v>
      </c>
      <c r="M49" s="66" t="str">
        <f t="shared" ref="M49:M53" si="40">IF(E49=14,(H49*G49*1.208)," ")</f>
        <v> </v>
      </c>
      <c r="N49" s="66" t="str">
        <f t="shared" ref="N49:N53" si="41">IF(E49=16,(H49*G49*1.578)," ")</f>
        <v> </v>
      </c>
      <c r="O49" s="66" t="str">
        <f t="shared" ref="O49:O53" si="42">IF(E49=20,(H49*G49*2.466)," ")</f>
        <v> </v>
      </c>
      <c r="P49" s="66" t="str">
        <f t="shared" ref="P49:P53" si="43">IF(E49=25,(H49*G49*3.854)," ")</f>
        <v> </v>
      </c>
      <c r="Q49" s="66" t="str">
        <f t="shared" ref="Q49:Q53" si="44">IF(E49=32,(H49*G49*6.314)," ")</f>
        <v> </v>
      </c>
      <c r="R49" s="132" t="str">
        <f t="shared" ref="R49:R53" si="45">IF(E49=40,(H49*G49*9.866)," ")</f>
        <v> </v>
      </c>
    </row>
    <row r="50" s="2" customFormat="1" ht="12" customHeight="1" spans="1:18">
      <c r="A50" s="156" t="s">
        <v>255</v>
      </c>
      <c r="B50" s="36"/>
      <c r="C50" s="33">
        <v>20</v>
      </c>
      <c r="D50" s="32" t="s">
        <v>256</v>
      </c>
      <c r="E50" s="32">
        <v>14</v>
      </c>
      <c r="F50" s="33">
        <v>2</v>
      </c>
      <c r="G50" s="33">
        <f t="shared" ref="G50:G51" si="46">F50*C50</f>
        <v>40</v>
      </c>
      <c r="H50" s="34">
        <f>3.41+50*0.014</f>
        <v>4.11</v>
      </c>
      <c r="I50" s="66" t="str">
        <f t="shared" si="36"/>
        <v> </v>
      </c>
      <c r="J50" s="66" t="str">
        <f t="shared" si="37"/>
        <v> </v>
      </c>
      <c r="K50" s="66" t="str">
        <f t="shared" si="38"/>
        <v> </v>
      </c>
      <c r="L50" s="66" t="str">
        <f t="shared" si="39"/>
        <v> </v>
      </c>
      <c r="M50" s="66">
        <f t="shared" si="40"/>
        <v>198.5952</v>
      </c>
      <c r="N50" s="66" t="str">
        <f t="shared" si="41"/>
        <v> </v>
      </c>
      <c r="O50" s="66" t="str">
        <f t="shared" si="42"/>
        <v> </v>
      </c>
      <c r="P50" s="66" t="str">
        <f t="shared" si="43"/>
        <v> </v>
      </c>
      <c r="Q50" s="66" t="str">
        <f t="shared" si="44"/>
        <v> </v>
      </c>
      <c r="R50" s="132" t="str">
        <f t="shared" si="45"/>
        <v> </v>
      </c>
    </row>
    <row r="51" s="2" customFormat="1" ht="12" customHeight="1" spans="1:18">
      <c r="A51" s="156" t="s">
        <v>265</v>
      </c>
      <c r="B51" s="33"/>
      <c r="C51" s="33">
        <v>36</v>
      </c>
      <c r="D51" s="32" t="s">
        <v>256</v>
      </c>
      <c r="E51" s="32">
        <v>8</v>
      </c>
      <c r="F51" s="33">
        <v>2</v>
      </c>
      <c r="G51" s="33">
        <f t="shared" si="46"/>
        <v>72</v>
      </c>
      <c r="H51" s="34">
        <f>0.25*9+0.91*3+10*0.008*9</f>
        <v>5.7</v>
      </c>
      <c r="I51" s="66" t="str">
        <f t="shared" si="36"/>
        <v> </v>
      </c>
      <c r="J51" s="66">
        <f t="shared" si="37"/>
        <v>162.108</v>
      </c>
      <c r="K51" s="66" t="str">
        <f t="shared" si="38"/>
        <v> </v>
      </c>
      <c r="L51" s="66" t="str">
        <f t="shared" si="39"/>
        <v> </v>
      </c>
      <c r="M51" s="66" t="str">
        <f t="shared" si="40"/>
        <v> </v>
      </c>
      <c r="N51" s="66" t="str">
        <f t="shared" si="41"/>
        <v> </v>
      </c>
      <c r="O51" s="66" t="str">
        <f t="shared" si="42"/>
        <v> </v>
      </c>
      <c r="P51" s="66" t="str">
        <f t="shared" si="43"/>
        <v> </v>
      </c>
      <c r="Q51" s="66" t="str">
        <f t="shared" si="44"/>
        <v> </v>
      </c>
      <c r="R51" s="132" t="str">
        <f t="shared" si="45"/>
        <v> </v>
      </c>
    </row>
    <row r="52" s="2" customFormat="1" ht="12" customHeight="1" spans="1:18">
      <c r="A52" s="156"/>
      <c r="B52" s="36"/>
      <c r="C52" s="33"/>
      <c r="D52" s="32"/>
      <c r="E52" s="32"/>
      <c r="F52" s="33"/>
      <c r="G52" s="33"/>
      <c r="H52" s="34"/>
      <c r="I52" s="66" t="str">
        <f t="shared" si="36"/>
        <v> </v>
      </c>
      <c r="J52" s="66" t="str">
        <f t="shared" si="37"/>
        <v> </v>
      </c>
      <c r="K52" s="66" t="str">
        <f t="shared" si="38"/>
        <v> </v>
      </c>
      <c r="L52" s="66" t="str">
        <f t="shared" si="39"/>
        <v> </v>
      </c>
      <c r="M52" s="66" t="str">
        <f t="shared" si="40"/>
        <v> </v>
      </c>
      <c r="N52" s="66" t="str">
        <f t="shared" si="41"/>
        <v> </v>
      </c>
      <c r="O52" s="66" t="str">
        <f t="shared" si="42"/>
        <v> </v>
      </c>
      <c r="P52" s="66" t="str">
        <f t="shared" si="43"/>
        <v> </v>
      </c>
      <c r="Q52" s="66" t="str">
        <f t="shared" si="44"/>
        <v> </v>
      </c>
      <c r="R52" s="132" t="str">
        <f t="shared" si="45"/>
        <v> </v>
      </c>
    </row>
    <row r="53" s="2" customFormat="1" ht="12" customHeight="1" spans="1:18">
      <c r="A53" s="157"/>
      <c r="B53" s="38"/>
      <c r="C53" s="38"/>
      <c r="D53" s="39"/>
      <c r="E53" s="39"/>
      <c r="F53" s="38"/>
      <c r="G53" s="38"/>
      <c r="H53" s="40"/>
      <c r="I53" s="66" t="str">
        <f t="shared" si="36"/>
        <v> </v>
      </c>
      <c r="J53" s="66" t="str">
        <f t="shared" si="37"/>
        <v> </v>
      </c>
      <c r="K53" s="66" t="str">
        <f t="shared" si="38"/>
        <v> </v>
      </c>
      <c r="L53" s="66" t="str">
        <f t="shared" si="39"/>
        <v> </v>
      </c>
      <c r="M53" s="66" t="str">
        <f t="shared" si="40"/>
        <v> </v>
      </c>
      <c r="N53" s="66" t="str">
        <f t="shared" si="41"/>
        <v> </v>
      </c>
      <c r="O53" s="66" t="str">
        <f t="shared" si="42"/>
        <v> </v>
      </c>
      <c r="P53" s="66" t="str">
        <f t="shared" si="43"/>
        <v> </v>
      </c>
      <c r="Q53" s="66" t="str">
        <f t="shared" si="44"/>
        <v> </v>
      </c>
      <c r="R53" s="132" t="str">
        <f t="shared" si="45"/>
        <v> </v>
      </c>
    </row>
    <row r="54" ht="17.25" customHeight="1" spans="1:21">
      <c r="A54" s="112" t="s">
        <v>259</v>
      </c>
      <c r="B54" s="42"/>
      <c r="C54" s="42"/>
      <c r="D54" s="42"/>
      <c r="E54" s="42"/>
      <c r="F54" s="42"/>
      <c r="G54" s="42"/>
      <c r="H54" s="43"/>
      <c r="I54" s="67">
        <v>0.222</v>
      </c>
      <c r="J54" s="68">
        <v>0.397</v>
      </c>
      <c r="K54" s="69">
        <v>0.617</v>
      </c>
      <c r="L54" s="69">
        <v>0.888</v>
      </c>
      <c r="M54" s="69">
        <v>1.208</v>
      </c>
      <c r="N54" s="68">
        <v>1.576</v>
      </c>
      <c r="O54" s="68">
        <v>2.47</v>
      </c>
      <c r="P54" s="69">
        <v>3.854</v>
      </c>
      <c r="Q54" s="69">
        <v>6.313</v>
      </c>
      <c r="R54" s="133">
        <v>9.866</v>
      </c>
      <c r="T54" s="83"/>
      <c r="U54" s="83"/>
    </row>
    <row r="55" ht="15" customHeight="1" spans="1:21">
      <c r="A55" s="113" t="s">
        <v>260</v>
      </c>
      <c r="B55" s="45"/>
      <c r="C55" s="45"/>
      <c r="D55" s="45"/>
      <c r="E55" s="45"/>
      <c r="F55" s="45"/>
      <c r="G55" s="45"/>
      <c r="H55" s="46"/>
      <c r="I55" s="70">
        <f>SUM(I48:I53)</f>
        <v>0</v>
      </c>
      <c r="J55" s="70">
        <f t="shared" ref="J55:R55" si="47">SUM(J48:J53)</f>
        <v>162.108</v>
      </c>
      <c r="K55" s="70">
        <f t="shared" si="47"/>
        <v>0</v>
      </c>
      <c r="L55" s="70">
        <f t="shared" si="47"/>
        <v>0</v>
      </c>
      <c r="M55" s="70">
        <f t="shared" si="47"/>
        <v>198.5952</v>
      </c>
      <c r="N55" s="70">
        <f t="shared" si="47"/>
        <v>0</v>
      </c>
      <c r="O55" s="70">
        <f t="shared" si="47"/>
        <v>0</v>
      </c>
      <c r="P55" s="70">
        <f t="shared" si="47"/>
        <v>0</v>
      </c>
      <c r="Q55" s="70">
        <f t="shared" si="47"/>
        <v>0</v>
      </c>
      <c r="R55" s="134">
        <f t="shared" si="47"/>
        <v>0</v>
      </c>
      <c r="T55" s="83"/>
      <c r="U55" s="83"/>
    </row>
    <row r="56" s="3" customFormat="1" ht="16.5" customHeight="1" spans="1:21">
      <c r="A56" s="113" t="s">
        <v>261</v>
      </c>
      <c r="B56" s="45"/>
      <c r="C56" s="45"/>
      <c r="D56" s="45"/>
      <c r="E56" s="45"/>
      <c r="F56" s="45"/>
      <c r="G56" s="45"/>
      <c r="H56" s="46"/>
      <c r="I56" s="92"/>
      <c r="J56" s="93"/>
      <c r="K56" s="93"/>
      <c r="L56" s="93"/>
      <c r="M56" s="93"/>
      <c r="N56" s="93"/>
      <c r="O56" s="93"/>
      <c r="P56" s="92"/>
      <c r="Q56" s="92"/>
      <c r="R56" s="145">
        <f>(SUM(I55:R55))</f>
        <v>360.7032</v>
      </c>
      <c r="T56" s="86"/>
      <c r="U56" s="86"/>
    </row>
    <row r="57" ht="15.15" spans="1:18">
      <c r="A57" s="159" t="s">
        <v>268</v>
      </c>
      <c r="B57" s="144"/>
      <c r="C57" s="144"/>
      <c r="D57" s="144"/>
      <c r="E57" s="144"/>
      <c r="F57" s="144"/>
      <c r="G57" s="144"/>
      <c r="H57" s="160"/>
      <c r="I57" s="168"/>
      <c r="J57" s="168"/>
      <c r="K57" s="168"/>
      <c r="L57" s="168"/>
      <c r="M57" s="168"/>
      <c r="N57" s="168"/>
      <c r="O57" s="168"/>
      <c r="P57" s="168"/>
      <c r="Q57" s="173"/>
      <c r="R57" s="174">
        <f>+R56+R42+R28+R14</f>
        <v>1080.99414</v>
      </c>
    </row>
    <row r="58" ht="15.15"/>
  </sheetData>
  <mergeCells count="46">
    <mergeCell ref="L2:M2"/>
    <mergeCell ref="I3:R3"/>
    <mergeCell ref="A12:H12"/>
    <mergeCell ref="A13:H13"/>
    <mergeCell ref="A14:H14"/>
    <mergeCell ref="I18:R18"/>
    <mergeCell ref="A26:H26"/>
    <mergeCell ref="A27:H27"/>
    <mergeCell ref="A28:H28"/>
    <mergeCell ref="I32:R32"/>
    <mergeCell ref="A40:H40"/>
    <mergeCell ref="A41:H41"/>
    <mergeCell ref="A42:H42"/>
    <mergeCell ref="I46:R46"/>
    <mergeCell ref="A54:H54"/>
    <mergeCell ref="A55:H55"/>
    <mergeCell ref="A56:H56"/>
    <mergeCell ref="A57:H57"/>
    <mergeCell ref="A3:A4"/>
    <mergeCell ref="A18:A19"/>
    <mergeCell ref="A32:A33"/>
    <mergeCell ref="A46:A47"/>
    <mergeCell ref="B3:B4"/>
    <mergeCell ref="B18:B19"/>
    <mergeCell ref="B32:B33"/>
    <mergeCell ref="B46:B47"/>
    <mergeCell ref="C3:C4"/>
    <mergeCell ref="C18:C19"/>
    <mergeCell ref="C32:C33"/>
    <mergeCell ref="C46:C47"/>
    <mergeCell ref="F3:F4"/>
    <mergeCell ref="F18:F19"/>
    <mergeCell ref="F32:F33"/>
    <mergeCell ref="F46:F47"/>
    <mergeCell ref="G3:G4"/>
    <mergeCell ref="G18:G19"/>
    <mergeCell ref="G32:G33"/>
    <mergeCell ref="G46:G47"/>
    <mergeCell ref="H3:H4"/>
    <mergeCell ref="H18:H19"/>
    <mergeCell ref="H32:H33"/>
    <mergeCell ref="H46:H47"/>
    <mergeCell ref="D3:E4"/>
    <mergeCell ref="D18:E19"/>
    <mergeCell ref="D32:E33"/>
    <mergeCell ref="D46:E47"/>
  </mergeCells>
  <printOptions horizontalCentered="1" verticalCentered="1"/>
  <pageMargins left="0" right="0" top="0" bottom="0" header="0.31496062992126" footer="0.31496062992126"/>
  <pageSetup paperSize="9" scale="5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154"/>
  <sheetViews>
    <sheetView view="pageBreakPreview" zoomScaleNormal="85" topLeftCell="A129" workbookViewId="0">
      <selection activeCell="I153" sqref="A1:R153"/>
    </sheetView>
  </sheetViews>
  <sheetFormatPr defaultColWidth="11" defaultRowHeight="14.4"/>
  <cols>
    <col min="1" max="1" width="26.4259259259259" customWidth="1"/>
    <col min="2" max="2" width="3.42592592592593" style="4" customWidth="1"/>
    <col min="3" max="3" width="5" style="5" customWidth="1"/>
    <col min="4" max="4" width="4.57407407407407" style="6" customWidth="1"/>
    <col min="5" max="6" width="4" style="6" customWidth="1"/>
    <col min="7" max="7" width="4.85185185185185" style="5" customWidth="1"/>
    <col min="8" max="8" width="7.28703703703704" style="7" customWidth="1"/>
    <col min="9" max="10" width="12.1388888888889" style="8" customWidth="1"/>
    <col min="11" max="11" width="11.4259259259259" style="8" customWidth="1"/>
    <col min="12" max="12" width="13" style="8" customWidth="1"/>
    <col min="13" max="13" width="14.4259259259259" style="8" customWidth="1"/>
    <col min="14" max="14" width="13.712962962963" style="8" customWidth="1"/>
    <col min="15" max="15" width="13.4259259259259" style="8" customWidth="1"/>
    <col min="16" max="16" width="12" style="8" customWidth="1"/>
    <col min="17" max="17" width="13.4259259259259" customWidth="1"/>
    <col min="18" max="18" width="14.1388888888889" customWidth="1"/>
    <col min="19" max="19" width="6.28703703703704" customWidth="1"/>
    <col min="20" max="20" width="13.5740740740741" customWidth="1"/>
    <col min="21" max="21" width="11.4259259259259" customWidth="1"/>
    <col min="257" max="257" width="22.5740740740741" customWidth="1"/>
    <col min="258" max="258" width="3.42592592592593" customWidth="1"/>
    <col min="259" max="259" width="5.13888888888889" customWidth="1"/>
    <col min="260" max="260" width="4.57407407407407" customWidth="1"/>
    <col min="261" max="262" width="4" customWidth="1"/>
    <col min="263" max="263" width="6.13888888888889" customWidth="1"/>
    <col min="264" max="264" width="7.28703703703704" customWidth="1"/>
    <col min="265" max="265" width="9.42592592592593" customWidth="1"/>
    <col min="266" max="266" width="9.57407407407407" customWidth="1"/>
    <col min="267" max="267" width="12.8518518518519" customWidth="1"/>
    <col min="268" max="268" width="13.4259259259259" customWidth="1"/>
    <col min="269" max="269" width="13" customWidth="1"/>
    <col min="270" max="270" width="12.5740740740741" customWidth="1"/>
    <col min="271" max="272" width="14.1388888888889" customWidth="1"/>
    <col min="273" max="273" width="13.4259259259259" customWidth="1"/>
    <col min="274" max="274" width="15.4259259259259" customWidth="1"/>
    <col min="513" max="513" width="22.5740740740741" customWidth="1"/>
    <col min="514" max="514" width="3.42592592592593" customWidth="1"/>
    <col min="515" max="515" width="5.13888888888889" customWidth="1"/>
    <col min="516" max="516" width="4.57407407407407" customWidth="1"/>
    <col min="517" max="518" width="4" customWidth="1"/>
    <col min="519" max="519" width="6.13888888888889" customWidth="1"/>
    <col min="520" max="520" width="7.28703703703704" customWidth="1"/>
    <col min="521" max="521" width="9.42592592592593" customWidth="1"/>
    <col min="522" max="522" width="9.57407407407407" customWidth="1"/>
    <col min="523" max="523" width="12.8518518518519" customWidth="1"/>
    <col min="524" max="524" width="13.4259259259259" customWidth="1"/>
    <col min="525" max="525" width="13" customWidth="1"/>
    <col min="526" max="526" width="12.5740740740741" customWidth="1"/>
    <col min="527" max="528" width="14.1388888888889" customWidth="1"/>
    <col min="529" max="529" width="13.4259259259259" customWidth="1"/>
    <col min="530" max="530" width="15.4259259259259" customWidth="1"/>
    <col min="769" max="769" width="22.5740740740741" customWidth="1"/>
    <col min="770" max="770" width="3.42592592592593" customWidth="1"/>
    <col min="771" max="771" width="5.13888888888889" customWidth="1"/>
    <col min="772" max="772" width="4.57407407407407" customWidth="1"/>
    <col min="773" max="774" width="4" customWidth="1"/>
    <col min="775" max="775" width="6.13888888888889" customWidth="1"/>
    <col min="776" max="776" width="7.28703703703704" customWidth="1"/>
    <col min="777" max="777" width="9.42592592592593" customWidth="1"/>
    <col min="778" max="778" width="9.57407407407407" customWidth="1"/>
    <col min="779" max="779" width="12.8518518518519" customWidth="1"/>
    <col min="780" max="780" width="13.4259259259259" customWidth="1"/>
    <col min="781" max="781" width="13" customWidth="1"/>
    <col min="782" max="782" width="12.5740740740741" customWidth="1"/>
    <col min="783" max="784" width="14.1388888888889" customWidth="1"/>
    <col min="785" max="785" width="13.4259259259259" customWidth="1"/>
    <col min="786" max="786" width="15.4259259259259" customWidth="1"/>
    <col min="1025" max="1025" width="22.5740740740741" customWidth="1"/>
    <col min="1026" max="1026" width="3.42592592592593" customWidth="1"/>
    <col min="1027" max="1027" width="5.13888888888889" customWidth="1"/>
    <col min="1028" max="1028" width="4.57407407407407" customWidth="1"/>
    <col min="1029" max="1030" width="4" customWidth="1"/>
    <col min="1031" max="1031" width="6.13888888888889" customWidth="1"/>
    <col min="1032" max="1032" width="7.28703703703704" customWidth="1"/>
    <col min="1033" max="1033" width="9.42592592592593" customWidth="1"/>
    <col min="1034" max="1034" width="9.57407407407407" customWidth="1"/>
    <col min="1035" max="1035" width="12.8518518518519" customWidth="1"/>
    <col min="1036" max="1036" width="13.4259259259259" customWidth="1"/>
    <col min="1037" max="1037" width="13" customWidth="1"/>
    <col min="1038" max="1038" width="12.5740740740741" customWidth="1"/>
    <col min="1039" max="1040" width="14.1388888888889" customWidth="1"/>
    <col min="1041" max="1041" width="13.4259259259259" customWidth="1"/>
    <col min="1042" max="1042" width="15.4259259259259" customWidth="1"/>
    <col min="1281" max="1281" width="22.5740740740741" customWidth="1"/>
    <col min="1282" max="1282" width="3.42592592592593" customWidth="1"/>
    <col min="1283" max="1283" width="5.13888888888889" customWidth="1"/>
    <col min="1284" max="1284" width="4.57407407407407" customWidth="1"/>
    <col min="1285" max="1286" width="4" customWidth="1"/>
    <col min="1287" max="1287" width="6.13888888888889" customWidth="1"/>
    <col min="1288" max="1288" width="7.28703703703704" customWidth="1"/>
    <col min="1289" max="1289" width="9.42592592592593" customWidth="1"/>
    <col min="1290" max="1290" width="9.57407407407407" customWidth="1"/>
    <col min="1291" max="1291" width="12.8518518518519" customWidth="1"/>
    <col min="1292" max="1292" width="13.4259259259259" customWidth="1"/>
    <col min="1293" max="1293" width="13" customWidth="1"/>
    <col min="1294" max="1294" width="12.5740740740741" customWidth="1"/>
    <col min="1295" max="1296" width="14.1388888888889" customWidth="1"/>
    <col min="1297" max="1297" width="13.4259259259259" customWidth="1"/>
    <col min="1298" max="1298" width="15.4259259259259" customWidth="1"/>
    <col min="1537" max="1537" width="22.5740740740741" customWidth="1"/>
    <col min="1538" max="1538" width="3.42592592592593" customWidth="1"/>
    <col min="1539" max="1539" width="5.13888888888889" customWidth="1"/>
    <col min="1540" max="1540" width="4.57407407407407" customWidth="1"/>
    <col min="1541" max="1542" width="4" customWidth="1"/>
    <col min="1543" max="1543" width="6.13888888888889" customWidth="1"/>
    <col min="1544" max="1544" width="7.28703703703704" customWidth="1"/>
    <col min="1545" max="1545" width="9.42592592592593" customWidth="1"/>
    <col min="1546" max="1546" width="9.57407407407407" customWidth="1"/>
    <col min="1547" max="1547" width="12.8518518518519" customWidth="1"/>
    <col min="1548" max="1548" width="13.4259259259259" customWidth="1"/>
    <col min="1549" max="1549" width="13" customWidth="1"/>
    <col min="1550" max="1550" width="12.5740740740741" customWidth="1"/>
    <col min="1551" max="1552" width="14.1388888888889" customWidth="1"/>
    <col min="1553" max="1553" width="13.4259259259259" customWidth="1"/>
    <col min="1554" max="1554" width="15.4259259259259" customWidth="1"/>
    <col min="1793" max="1793" width="22.5740740740741" customWidth="1"/>
    <col min="1794" max="1794" width="3.42592592592593" customWidth="1"/>
    <col min="1795" max="1795" width="5.13888888888889" customWidth="1"/>
    <col min="1796" max="1796" width="4.57407407407407" customWidth="1"/>
    <col min="1797" max="1798" width="4" customWidth="1"/>
    <col min="1799" max="1799" width="6.13888888888889" customWidth="1"/>
    <col min="1800" max="1800" width="7.28703703703704" customWidth="1"/>
    <col min="1801" max="1801" width="9.42592592592593" customWidth="1"/>
    <col min="1802" max="1802" width="9.57407407407407" customWidth="1"/>
    <col min="1803" max="1803" width="12.8518518518519" customWidth="1"/>
    <col min="1804" max="1804" width="13.4259259259259" customWidth="1"/>
    <col min="1805" max="1805" width="13" customWidth="1"/>
    <col min="1806" max="1806" width="12.5740740740741" customWidth="1"/>
    <col min="1807" max="1808" width="14.1388888888889" customWidth="1"/>
    <col min="1809" max="1809" width="13.4259259259259" customWidth="1"/>
    <col min="1810" max="1810" width="15.4259259259259" customWidth="1"/>
    <col min="2049" max="2049" width="22.5740740740741" customWidth="1"/>
    <col min="2050" max="2050" width="3.42592592592593" customWidth="1"/>
    <col min="2051" max="2051" width="5.13888888888889" customWidth="1"/>
    <col min="2052" max="2052" width="4.57407407407407" customWidth="1"/>
    <col min="2053" max="2054" width="4" customWidth="1"/>
    <col min="2055" max="2055" width="6.13888888888889" customWidth="1"/>
    <col min="2056" max="2056" width="7.28703703703704" customWidth="1"/>
    <col min="2057" max="2057" width="9.42592592592593" customWidth="1"/>
    <col min="2058" max="2058" width="9.57407407407407" customWidth="1"/>
    <col min="2059" max="2059" width="12.8518518518519" customWidth="1"/>
    <col min="2060" max="2060" width="13.4259259259259" customWidth="1"/>
    <col min="2061" max="2061" width="13" customWidth="1"/>
    <col min="2062" max="2062" width="12.5740740740741" customWidth="1"/>
    <col min="2063" max="2064" width="14.1388888888889" customWidth="1"/>
    <col min="2065" max="2065" width="13.4259259259259" customWidth="1"/>
    <col min="2066" max="2066" width="15.4259259259259" customWidth="1"/>
    <col min="2305" max="2305" width="22.5740740740741" customWidth="1"/>
    <col min="2306" max="2306" width="3.42592592592593" customWidth="1"/>
    <col min="2307" max="2307" width="5.13888888888889" customWidth="1"/>
    <col min="2308" max="2308" width="4.57407407407407" customWidth="1"/>
    <col min="2309" max="2310" width="4" customWidth="1"/>
    <col min="2311" max="2311" width="6.13888888888889" customWidth="1"/>
    <col min="2312" max="2312" width="7.28703703703704" customWidth="1"/>
    <col min="2313" max="2313" width="9.42592592592593" customWidth="1"/>
    <col min="2314" max="2314" width="9.57407407407407" customWidth="1"/>
    <col min="2315" max="2315" width="12.8518518518519" customWidth="1"/>
    <col min="2316" max="2316" width="13.4259259259259" customWidth="1"/>
    <col min="2317" max="2317" width="13" customWidth="1"/>
    <col min="2318" max="2318" width="12.5740740740741" customWidth="1"/>
    <col min="2319" max="2320" width="14.1388888888889" customWidth="1"/>
    <col min="2321" max="2321" width="13.4259259259259" customWidth="1"/>
    <col min="2322" max="2322" width="15.4259259259259" customWidth="1"/>
    <col min="2561" max="2561" width="22.5740740740741" customWidth="1"/>
    <col min="2562" max="2562" width="3.42592592592593" customWidth="1"/>
    <col min="2563" max="2563" width="5.13888888888889" customWidth="1"/>
    <col min="2564" max="2564" width="4.57407407407407" customWidth="1"/>
    <col min="2565" max="2566" width="4" customWidth="1"/>
    <col min="2567" max="2567" width="6.13888888888889" customWidth="1"/>
    <col min="2568" max="2568" width="7.28703703703704" customWidth="1"/>
    <col min="2569" max="2569" width="9.42592592592593" customWidth="1"/>
    <col min="2570" max="2570" width="9.57407407407407" customWidth="1"/>
    <col min="2571" max="2571" width="12.8518518518519" customWidth="1"/>
    <col min="2572" max="2572" width="13.4259259259259" customWidth="1"/>
    <col min="2573" max="2573" width="13" customWidth="1"/>
    <col min="2574" max="2574" width="12.5740740740741" customWidth="1"/>
    <col min="2575" max="2576" width="14.1388888888889" customWidth="1"/>
    <col min="2577" max="2577" width="13.4259259259259" customWidth="1"/>
    <col min="2578" max="2578" width="15.4259259259259" customWidth="1"/>
    <col min="2817" max="2817" width="22.5740740740741" customWidth="1"/>
    <col min="2818" max="2818" width="3.42592592592593" customWidth="1"/>
    <col min="2819" max="2819" width="5.13888888888889" customWidth="1"/>
    <col min="2820" max="2820" width="4.57407407407407" customWidth="1"/>
    <col min="2821" max="2822" width="4" customWidth="1"/>
    <col min="2823" max="2823" width="6.13888888888889" customWidth="1"/>
    <col min="2824" max="2824" width="7.28703703703704" customWidth="1"/>
    <col min="2825" max="2825" width="9.42592592592593" customWidth="1"/>
    <col min="2826" max="2826" width="9.57407407407407" customWidth="1"/>
    <col min="2827" max="2827" width="12.8518518518519" customWidth="1"/>
    <col min="2828" max="2828" width="13.4259259259259" customWidth="1"/>
    <col min="2829" max="2829" width="13" customWidth="1"/>
    <col min="2830" max="2830" width="12.5740740740741" customWidth="1"/>
    <col min="2831" max="2832" width="14.1388888888889" customWidth="1"/>
    <col min="2833" max="2833" width="13.4259259259259" customWidth="1"/>
    <col min="2834" max="2834" width="15.4259259259259" customWidth="1"/>
    <col min="3073" max="3073" width="22.5740740740741" customWidth="1"/>
    <col min="3074" max="3074" width="3.42592592592593" customWidth="1"/>
    <col min="3075" max="3075" width="5.13888888888889" customWidth="1"/>
    <col min="3076" max="3076" width="4.57407407407407" customWidth="1"/>
    <col min="3077" max="3078" width="4" customWidth="1"/>
    <col min="3079" max="3079" width="6.13888888888889" customWidth="1"/>
    <col min="3080" max="3080" width="7.28703703703704" customWidth="1"/>
    <col min="3081" max="3081" width="9.42592592592593" customWidth="1"/>
    <col min="3082" max="3082" width="9.57407407407407" customWidth="1"/>
    <col min="3083" max="3083" width="12.8518518518519" customWidth="1"/>
    <col min="3084" max="3084" width="13.4259259259259" customWidth="1"/>
    <col min="3085" max="3085" width="13" customWidth="1"/>
    <col min="3086" max="3086" width="12.5740740740741" customWidth="1"/>
    <col min="3087" max="3088" width="14.1388888888889" customWidth="1"/>
    <col min="3089" max="3089" width="13.4259259259259" customWidth="1"/>
    <col min="3090" max="3090" width="15.4259259259259" customWidth="1"/>
    <col min="3329" max="3329" width="22.5740740740741" customWidth="1"/>
    <col min="3330" max="3330" width="3.42592592592593" customWidth="1"/>
    <col min="3331" max="3331" width="5.13888888888889" customWidth="1"/>
    <col min="3332" max="3332" width="4.57407407407407" customWidth="1"/>
    <col min="3333" max="3334" width="4" customWidth="1"/>
    <col min="3335" max="3335" width="6.13888888888889" customWidth="1"/>
    <col min="3336" max="3336" width="7.28703703703704" customWidth="1"/>
    <col min="3337" max="3337" width="9.42592592592593" customWidth="1"/>
    <col min="3338" max="3338" width="9.57407407407407" customWidth="1"/>
    <col min="3339" max="3339" width="12.8518518518519" customWidth="1"/>
    <col min="3340" max="3340" width="13.4259259259259" customWidth="1"/>
    <col min="3341" max="3341" width="13" customWidth="1"/>
    <col min="3342" max="3342" width="12.5740740740741" customWidth="1"/>
    <col min="3343" max="3344" width="14.1388888888889" customWidth="1"/>
    <col min="3345" max="3345" width="13.4259259259259" customWidth="1"/>
    <col min="3346" max="3346" width="15.4259259259259" customWidth="1"/>
    <col min="3585" max="3585" width="22.5740740740741" customWidth="1"/>
    <col min="3586" max="3586" width="3.42592592592593" customWidth="1"/>
    <col min="3587" max="3587" width="5.13888888888889" customWidth="1"/>
    <col min="3588" max="3588" width="4.57407407407407" customWidth="1"/>
    <col min="3589" max="3590" width="4" customWidth="1"/>
    <col min="3591" max="3591" width="6.13888888888889" customWidth="1"/>
    <col min="3592" max="3592" width="7.28703703703704" customWidth="1"/>
    <col min="3593" max="3593" width="9.42592592592593" customWidth="1"/>
    <col min="3594" max="3594" width="9.57407407407407" customWidth="1"/>
    <col min="3595" max="3595" width="12.8518518518519" customWidth="1"/>
    <col min="3596" max="3596" width="13.4259259259259" customWidth="1"/>
    <col min="3597" max="3597" width="13" customWidth="1"/>
    <col min="3598" max="3598" width="12.5740740740741" customWidth="1"/>
    <col min="3599" max="3600" width="14.1388888888889" customWidth="1"/>
    <col min="3601" max="3601" width="13.4259259259259" customWidth="1"/>
    <col min="3602" max="3602" width="15.4259259259259" customWidth="1"/>
    <col min="3841" max="3841" width="22.5740740740741" customWidth="1"/>
    <col min="3842" max="3842" width="3.42592592592593" customWidth="1"/>
    <col min="3843" max="3843" width="5.13888888888889" customWidth="1"/>
    <col min="3844" max="3844" width="4.57407407407407" customWidth="1"/>
    <col min="3845" max="3846" width="4" customWidth="1"/>
    <col min="3847" max="3847" width="6.13888888888889" customWidth="1"/>
    <col min="3848" max="3848" width="7.28703703703704" customWidth="1"/>
    <col min="3849" max="3849" width="9.42592592592593" customWidth="1"/>
    <col min="3850" max="3850" width="9.57407407407407" customWidth="1"/>
    <col min="3851" max="3851" width="12.8518518518519" customWidth="1"/>
    <col min="3852" max="3852" width="13.4259259259259" customWidth="1"/>
    <col min="3853" max="3853" width="13" customWidth="1"/>
    <col min="3854" max="3854" width="12.5740740740741" customWidth="1"/>
    <col min="3855" max="3856" width="14.1388888888889" customWidth="1"/>
    <col min="3857" max="3857" width="13.4259259259259" customWidth="1"/>
    <col min="3858" max="3858" width="15.4259259259259" customWidth="1"/>
    <col min="4097" max="4097" width="22.5740740740741" customWidth="1"/>
    <col min="4098" max="4098" width="3.42592592592593" customWidth="1"/>
    <col min="4099" max="4099" width="5.13888888888889" customWidth="1"/>
    <col min="4100" max="4100" width="4.57407407407407" customWidth="1"/>
    <col min="4101" max="4102" width="4" customWidth="1"/>
    <col min="4103" max="4103" width="6.13888888888889" customWidth="1"/>
    <col min="4104" max="4104" width="7.28703703703704" customWidth="1"/>
    <col min="4105" max="4105" width="9.42592592592593" customWidth="1"/>
    <col min="4106" max="4106" width="9.57407407407407" customWidth="1"/>
    <col min="4107" max="4107" width="12.8518518518519" customWidth="1"/>
    <col min="4108" max="4108" width="13.4259259259259" customWidth="1"/>
    <col min="4109" max="4109" width="13" customWidth="1"/>
    <col min="4110" max="4110" width="12.5740740740741" customWidth="1"/>
    <col min="4111" max="4112" width="14.1388888888889" customWidth="1"/>
    <col min="4113" max="4113" width="13.4259259259259" customWidth="1"/>
    <col min="4114" max="4114" width="15.4259259259259" customWidth="1"/>
    <col min="4353" max="4353" width="22.5740740740741" customWidth="1"/>
    <col min="4354" max="4354" width="3.42592592592593" customWidth="1"/>
    <col min="4355" max="4355" width="5.13888888888889" customWidth="1"/>
    <col min="4356" max="4356" width="4.57407407407407" customWidth="1"/>
    <col min="4357" max="4358" width="4" customWidth="1"/>
    <col min="4359" max="4359" width="6.13888888888889" customWidth="1"/>
    <col min="4360" max="4360" width="7.28703703703704" customWidth="1"/>
    <col min="4361" max="4361" width="9.42592592592593" customWidth="1"/>
    <col min="4362" max="4362" width="9.57407407407407" customWidth="1"/>
    <col min="4363" max="4363" width="12.8518518518519" customWidth="1"/>
    <col min="4364" max="4364" width="13.4259259259259" customWidth="1"/>
    <col min="4365" max="4365" width="13" customWidth="1"/>
    <col min="4366" max="4366" width="12.5740740740741" customWidth="1"/>
    <col min="4367" max="4368" width="14.1388888888889" customWidth="1"/>
    <col min="4369" max="4369" width="13.4259259259259" customWidth="1"/>
    <col min="4370" max="4370" width="15.4259259259259" customWidth="1"/>
    <col min="4609" max="4609" width="22.5740740740741" customWidth="1"/>
    <col min="4610" max="4610" width="3.42592592592593" customWidth="1"/>
    <col min="4611" max="4611" width="5.13888888888889" customWidth="1"/>
    <col min="4612" max="4612" width="4.57407407407407" customWidth="1"/>
    <col min="4613" max="4614" width="4" customWidth="1"/>
    <col min="4615" max="4615" width="6.13888888888889" customWidth="1"/>
    <col min="4616" max="4616" width="7.28703703703704" customWidth="1"/>
    <col min="4617" max="4617" width="9.42592592592593" customWidth="1"/>
    <col min="4618" max="4618" width="9.57407407407407" customWidth="1"/>
    <col min="4619" max="4619" width="12.8518518518519" customWidth="1"/>
    <col min="4620" max="4620" width="13.4259259259259" customWidth="1"/>
    <col min="4621" max="4621" width="13" customWidth="1"/>
    <col min="4622" max="4622" width="12.5740740740741" customWidth="1"/>
    <col min="4623" max="4624" width="14.1388888888889" customWidth="1"/>
    <col min="4625" max="4625" width="13.4259259259259" customWidth="1"/>
    <col min="4626" max="4626" width="15.4259259259259" customWidth="1"/>
    <col min="4865" max="4865" width="22.5740740740741" customWidth="1"/>
    <col min="4866" max="4866" width="3.42592592592593" customWidth="1"/>
    <col min="4867" max="4867" width="5.13888888888889" customWidth="1"/>
    <col min="4868" max="4868" width="4.57407407407407" customWidth="1"/>
    <col min="4869" max="4870" width="4" customWidth="1"/>
    <col min="4871" max="4871" width="6.13888888888889" customWidth="1"/>
    <col min="4872" max="4872" width="7.28703703703704" customWidth="1"/>
    <col min="4873" max="4873" width="9.42592592592593" customWidth="1"/>
    <col min="4874" max="4874" width="9.57407407407407" customWidth="1"/>
    <col min="4875" max="4875" width="12.8518518518519" customWidth="1"/>
    <col min="4876" max="4876" width="13.4259259259259" customWidth="1"/>
    <col min="4877" max="4877" width="13" customWidth="1"/>
    <col min="4878" max="4878" width="12.5740740740741" customWidth="1"/>
    <col min="4879" max="4880" width="14.1388888888889" customWidth="1"/>
    <col min="4881" max="4881" width="13.4259259259259" customWidth="1"/>
    <col min="4882" max="4882" width="15.4259259259259" customWidth="1"/>
    <col min="5121" max="5121" width="22.5740740740741" customWidth="1"/>
    <col min="5122" max="5122" width="3.42592592592593" customWidth="1"/>
    <col min="5123" max="5123" width="5.13888888888889" customWidth="1"/>
    <col min="5124" max="5124" width="4.57407407407407" customWidth="1"/>
    <col min="5125" max="5126" width="4" customWidth="1"/>
    <col min="5127" max="5127" width="6.13888888888889" customWidth="1"/>
    <col min="5128" max="5128" width="7.28703703703704" customWidth="1"/>
    <col min="5129" max="5129" width="9.42592592592593" customWidth="1"/>
    <col min="5130" max="5130" width="9.57407407407407" customWidth="1"/>
    <col min="5131" max="5131" width="12.8518518518519" customWidth="1"/>
    <col min="5132" max="5132" width="13.4259259259259" customWidth="1"/>
    <col min="5133" max="5133" width="13" customWidth="1"/>
    <col min="5134" max="5134" width="12.5740740740741" customWidth="1"/>
    <col min="5135" max="5136" width="14.1388888888889" customWidth="1"/>
    <col min="5137" max="5137" width="13.4259259259259" customWidth="1"/>
    <col min="5138" max="5138" width="15.4259259259259" customWidth="1"/>
    <col min="5377" max="5377" width="22.5740740740741" customWidth="1"/>
    <col min="5378" max="5378" width="3.42592592592593" customWidth="1"/>
    <col min="5379" max="5379" width="5.13888888888889" customWidth="1"/>
    <col min="5380" max="5380" width="4.57407407407407" customWidth="1"/>
    <col min="5381" max="5382" width="4" customWidth="1"/>
    <col min="5383" max="5383" width="6.13888888888889" customWidth="1"/>
    <col min="5384" max="5384" width="7.28703703703704" customWidth="1"/>
    <col min="5385" max="5385" width="9.42592592592593" customWidth="1"/>
    <col min="5386" max="5386" width="9.57407407407407" customWidth="1"/>
    <col min="5387" max="5387" width="12.8518518518519" customWidth="1"/>
    <col min="5388" max="5388" width="13.4259259259259" customWidth="1"/>
    <col min="5389" max="5389" width="13" customWidth="1"/>
    <col min="5390" max="5390" width="12.5740740740741" customWidth="1"/>
    <col min="5391" max="5392" width="14.1388888888889" customWidth="1"/>
    <col min="5393" max="5393" width="13.4259259259259" customWidth="1"/>
    <col min="5394" max="5394" width="15.4259259259259" customWidth="1"/>
    <col min="5633" max="5633" width="22.5740740740741" customWidth="1"/>
    <col min="5634" max="5634" width="3.42592592592593" customWidth="1"/>
    <col min="5635" max="5635" width="5.13888888888889" customWidth="1"/>
    <col min="5636" max="5636" width="4.57407407407407" customWidth="1"/>
    <col min="5637" max="5638" width="4" customWidth="1"/>
    <col min="5639" max="5639" width="6.13888888888889" customWidth="1"/>
    <col min="5640" max="5640" width="7.28703703703704" customWidth="1"/>
    <col min="5641" max="5641" width="9.42592592592593" customWidth="1"/>
    <col min="5642" max="5642" width="9.57407407407407" customWidth="1"/>
    <col min="5643" max="5643" width="12.8518518518519" customWidth="1"/>
    <col min="5644" max="5644" width="13.4259259259259" customWidth="1"/>
    <col min="5645" max="5645" width="13" customWidth="1"/>
    <col min="5646" max="5646" width="12.5740740740741" customWidth="1"/>
    <col min="5647" max="5648" width="14.1388888888889" customWidth="1"/>
    <col min="5649" max="5649" width="13.4259259259259" customWidth="1"/>
    <col min="5650" max="5650" width="15.4259259259259" customWidth="1"/>
    <col min="5889" max="5889" width="22.5740740740741" customWidth="1"/>
    <col min="5890" max="5890" width="3.42592592592593" customWidth="1"/>
    <col min="5891" max="5891" width="5.13888888888889" customWidth="1"/>
    <col min="5892" max="5892" width="4.57407407407407" customWidth="1"/>
    <col min="5893" max="5894" width="4" customWidth="1"/>
    <col min="5895" max="5895" width="6.13888888888889" customWidth="1"/>
    <col min="5896" max="5896" width="7.28703703703704" customWidth="1"/>
    <col min="5897" max="5897" width="9.42592592592593" customWidth="1"/>
    <col min="5898" max="5898" width="9.57407407407407" customWidth="1"/>
    <col min="5899" max="5899" width="12.8518518518519" customWidth="1"/>
    <col min="5900" max="5900" width="13.4259259259259" customWidth="1"/>
    <col min="5901" max="5901" width="13" customWidth="1"/>
    <col min="5902" max="5902" width="12.5740740740741" customWidth="1"/>
    <col min="5903" max="5904" width="14.1388888888889" customWidth="1"/>
    <col min="5905" max="5905" width="13.4259259259259" customWidth="1"/>
    <col min="5906" max="5906" width="15.4259259259259" customWidth="1"/>
    <col min="6145" max="6145" width="22.5740740740741" customWidth="1"/>
    <col min="6146" max="6146" width="3.42592592592593" customWidth="1"/>
    <col min="6147" max="6147" width="5.13888888888889" customWidth="1"/>
    <col min="6148" max="6148" width="4.57407407407407" customWidth="1"/>
    <col min="6149" max="6150" width="4" customWidth="1"/>
    <col min="6151" max="6151" width="6.13888888888889" customWidth="1"/>
    <col min="6152" max="6152" width="7.28703703703704" customWidth="1"/>
    <col min="6153" max="6153" width="9.42592592592593" customWidth="1"/>
    <col min="6154" max="6154" width="9.57407407407407" customWidth="1"/>
    <col min="6155" max="6155" width="12.8518518518519" customWidth="1"/>
    <col min="6156" max="6156" width="13.4259259259259" customWidth="1"/>
    <col min="6157" max="6157" width="13" customWidth="1"/>
    <col min="6158" max="6158" width="12.5740740740741" customWidth="1"/>
    <col min="6159" max="6160" width="14.1388888888889" customWidth="1"/>
    <col min="6161" max="6161" width="13.4259259259259" customWidth="1"/>
    <col min="6162" max="6162" width="15.4259259259259" customWidth="1"/>
    <col min="6401" max="6401" width="22.5740740740741" customWidth="1"/>
    <col min="6402" max="6402" width="3.42592592592593" customWidth="1"/>
    <col min="6403" max="6403" width="5.13888888888889" customWidth="1"/>
    <col min="6404" max="6404" width="4.57407407407407" customWidth="1"/>
    <col min="6405" max="6406" width="4" customWidth="1"/>
    <col min="6407" max="6407" width="6.13888888888889" customWidth="1"/>
    <col min="6408" max="6408" width="7.28703703703704" customWidth="1"/>
    <col min="6409" max="6409" width="9.42592592592593" customWidth="1"/>
    <col min="6410" max="6410" width="9.57407407407407" customWidth="1"/>
    <col min="6411" max="6411" width="12.8518518518519" customWidth="1"/>
    <col min="6412" max="6412" width="13.4259259259259" customWidth="1"/>
    <col min="6413" max="6413" width="13" customWidth="1"/>
    <col min="6414" max="6414" width="12.5740740740741" customWidth="1"/>
    <col min="6415" max="6416" width="14.1388888888889" customWidth="1"/>
    <col min="6417" max="6417" width="13.4259259259259" customWidth="1"/>
    <col min="6418" max="6418" width="15.4259259259259" customWidth="1"/>
    <col min="6657" max="6657" width="22.5740740740741" customWidth="1"/>
    <col min="6658" max="6658" width="3.42592592592593" customWidth="1"/>
    <col min="6659" max="6659" width="5.13888888888889" customWidth="1"/>
    <col min="6660" max="6660" width="4.57407407407407" customWidth="1"/>
    <col min="6661" max="6662" width="4" customWidth="1"/>
    <col min="6663" max="6663" width="6.13888888888889" customWidth="1"/>
    <col min="6664" max="6664" width="7.28703703703704" customWidth="1"/>
    <col min="6665" max="6665" width="9.42592592592593" customWidth="1"/>
    <col min="6666" max="6666" width="9.57407407407407" customWidth="1"/>
    <col min="6667" max="6667" width="12.8518518518519" customWidth="1"/>
    <col min="6668" max="6668" width="13.4259259259259" customWidth="1"/>
    <col min="6669" max="6669" width="13" customWidth="1"/>
    <col min="6670" max="6670" width="12.5740740740741" customWidth="1"/>
    <col min="6671" max="6672" width="14.1388888888889" customWidth="1"/>
    <col min="6673" max="6673" width="13.4259259259259" customWidth="1"/>
    <col min="6674" max="6674" width="15.4259259259259" customWidth="1"/>
    <col min="6913" max="6913" width="22.5740740740741" customWidth="1"/>
    <col min="6914" max="6914" width="3.42592592592593" customWidth="1"/>
    <col min="6915" max="6915" width="5.13888888888889" customWidth="1"/>
    <col min="6916" max="6916" width="4.57407407407407" customWidth="1"/>
    <col min="6917" max="6918" width="4" customWidth="1"/>
    <col min="6919" max="6919" width="6.13888888888889" customWidth="1"/>
    <col min="6920" max="6920" width="7.28703703703704" customWidth="1"/>
    <col min="6921" max="6921" width="9.42592592592593" customWidth="1"/>
    <col min="6922" max="6922" width="9.57407407407407" customWidth="1"/>
    <col min="6923" max="6923" width="12.8518518518519" customWidth="1"/>
    <col min="6924" max="6924" width="13.4259259259259" customWidth="1"/>
    <col min="6925" max="6925" width="13" customWidth="1"/>
    <col min="6926" max="6926" width="12.5740740740741" customWidth="1"/>
    <col min="6927" max="6928" width="14.1388888888889" customWidth="1"/>
    <col min="6929" max="6929" width="13.4259259259259" customWidth="1"/>
    <col min="6930" max="6930" width="15.4259259259259" customWidth="1"/>
    <col min="7169" max="7169" width="22.5740740740741" customWidth="1"/>
    <col min="7170" max="7170" width="3.42592592592593" customWidth="1"/>
    <col min="7171" max="7171" width="5.13888888888889" customWidth="1"/>
    <col min="7172" max="7172" width="4.57407407407407" customWidth="1"/>
    <col min="7173" max="7174" width="4" customWidth="1"/>
    <col min="7175" max="7175" width="6.13888888888889" customWidth="1"/>
    <col min="7176" max="7176" width="7.28703703703704" customWidth="1"/>
    <col min="7177" max="7177" width="9.42592592592593" customWidth="1"/>
    <col min="7178" max="7178" width="9.57407407407407" customWidth="1"/>
    <col min="7179" max="7179" width="12.8518518518519" customWidth="1"/>
    <col min="7180" max="7180" width="13.4259259259259" customWidth="1"/>
    <col min="7181" max="7181" width="13" customWidth="1"/>
    <col min="7182" max="7182" width="12.5740740740741" customWidth="1"/>
    <col min="7183" max="7184" width="14.1388888888889" customWidth="1"/>
    <col min="7185" max="7185" width="13.4259259259259" customWidth="1"/>
    <col min="7186" max="7186" width="15.4259259259259" customWidth="1"/>
    <col min="7425" max="7425" width="22.5740740740741" customWidth="1"/>
    <col min="7426" max="7426" width="3.42592592592593" customWidth="1"/>
    <col min="7427" max="7427" width="5.13888888888889" customWidth="1"/>
    <col min="7428" max="7428" width="4.57407407407407" customWidth="1"/>
    <col min="7429" max="7430" width="4" customWidth="1"/>
    <col min="7431" max="7431" width="6.13888888888889" customWidth="1"/>
    <col min="7432" max="7432" width="7.28703703703704" customWidth="1"/>
    <col min="7433" max="7433" width="9.42592592592593" customWidth="1"/>
    <col min="7434" max="7434" width="9.57407407407407" customWidth="1"/>
    <col min="7435" max="7435" width="12.8518518518519" customWidth="1"/>
    <col min="7436" max="7436" width="13.4259259259259" customWidth="1"/>
    <col min="7437" max="7437" width="13" customWidth="1"/>
    <col min="7438" max="7438" width="12.5740740740741" customWidth="1"/>
    <col min="7439" max="7440" width="14.1388888888889" customWidth="1"/>
    <col min="7441" max="7441" width="13.4259259259259" customWidth="1"/>
    <col min="7442" max="7442" width="15.4259259259259" customWidth="1"/>
    <col min="7681" max="7681" width="22.5740740740741" customWidth="1"/>
    <col min="7682" max="7682" width="3.42592592592593" customWidth="1"/>
    <col min="7683" max="7683" width="5.13888888888889" customWidth="1"/>
    <col min="7684" max="7684" width="4.57407407407407" customWidth="1"/>
    <col min="7685" max="7686" width="4" customWidth="1"/>
    <col min="7687" max="7687" width="6.13888888888889" customWidth="1"/>
    <col min="7688" max="7688" width="7.28703703703704" customWidth="1"/>
    <col min="7689" max="7689" width="9.42592592592593" customWidth="1"/>
    <col min="7690" max="7690" width="9.57407407407407" customWidth="1"/>
    <col min="7691" max="7691" width="12.8518518518519" customWidth="1"/>
    <col min="7692" max="7692" width="13.4259259259259" customWidth="1"/>
    <col min="7693" max="7693" width="13" customWidth="1"/>
    <col min="7694" max="7694" width="12.5740740740741" customWidth="1"/>
    <col min="7695" max="7696" width="14.1388888888889" customWidth="1"/>
    <col min="7697" max="7697" width="13.4259259259259" customWidth="1"/>
    <col min="7698" max="7698" width="15.4259259259259" customWidth="1"/>
    <col min="7937" max="7937" width="22.5740740740741" customWidth="1"/>
    <col min="7938" max="7938" width="3.42592592592593" customWidth="1"/>
    <col min="7939" max="7939" width="5.13888888888889" customWidth="1"/>
    <col min="7940" max="7940" width="4.57407407407407" customWidth="1"/>
    <col min="7941" max="7942" width="4" customWidth="1"/>
    <col min="7943" max="7943" width="6.13888888888889" customWidth="1"/>
    <col min="7944" max="7944" width="7.28703703703704" customWidth="1"/>
    <col min="7945" max="7945" width="9.42592592592593" customWidth="1"/>
    <col min="7946" max="7946" width="9.57407407407407" customWidth="1"/>
    <col min="7947" max="7947" width="12.8518518518519" customWidth="1"/>
    <col min="7948" max="7948" width="13.4259259259259" customWidth="1"/>
    <col min="7949" max="7949" width="13" customWidth="1"/>
    <col min="7950" max="7950" width="12.5740740740741" customWidth="1"/>
    <col min="7951" max="7952" width="14.1388888888889" customWidth="1"/>
    <col min="7953" max="7953" width="13.4259259259259" customWidth="1"/>
    <col min="7954" max="7954" width="15.4259259259259" customWidth="1"/>
    <col min="8193" max="8193" width="22.5740740740741" customWidth="1"/>
    <col min="8194" max="8194" width="3.42592592592593" customWidth="1"/>
    <col min="8195" max="8195" width="5.13888888888889" customWidth="1"/>
    <col min="8196" max="8196" width="4.57407407407407" customWidth="1"/>
    <col min="8197" max="8198" width="4" customWidth="1"/>
    <col min="8199" max="8199" width="6.13888888888889" customWidth="1"/>
    <col min="8200" max="8200" width="7.28703703703704" customWidth="1"/>
    <col min="8201" max="8201" width="9.42592592592593" customWidth="1"/>
    <col min="8202" max="8202" width="9.57407407407407" customWidth="1"/>
    <col min="8203" max="8203" width="12.8518518518519" customWidth="1"/>
    <col min="8204" max="8204" width="13.4259259259259" customWidth="1"/>
    <col min="8205" max="8205" width="13" customWidth="1"/>
    <col min="8206" max="8206" width="12.5740740740741" customWidth="1"/>
    <col min="8207" max="8208" width="14.1388888888889" customWidth="1"/>
    <col min="8209" max="8209" width="13.4259259259259" customWidth="1"/>
    <col min="8210" max="8210" width="15.4259259259259" customWidth="1"/>
    <col min="8449" max="8449" width="22.5740740740741" customWidth="1"/>
    <col min="8450" max="8450" width="3.42592592592593" customWidth="1"/>
    <col min="8451" max="8451" width="5.13888888888889" customWidth="1"/>
    <col min="8452" max="8452" width="4.57407407407407" customWidth="1"/>
    <col min="8453" max="8454" width="4" customWidth="1"/>
    <col min="8455" max="8455" width="6.13888888888889" customWidth="1"/>
    <col min="8456" max="8456" width="7.28703703703704" customWidth="1"/>
    <col min="8457" max="8457" width="9.42592592592593" customWidth="1"/>
    <col min="8458" max="8458" width="9.57407407407407" customWidth="1"/>
    <col min="8459" max="8459" width="12.8518518518519" customWidth="1"/>
    <col min="8460" max="8460" width="13.4259259259259" customWidth="1"/>
    <col min="8461" max="8461" width="13" customWidth="1"/>
    <col min="8462" max="8462" width="12.5740740740741" customWidth="1"/>
    <col min="8463" max="8464" width="14.1388888888889" customWidth="1"/>
    <col min="8465" max="8465" width="13.4259259259259" customWidth="1"/>
    <col min="8466" max="8466" width="15.4259259259259" customWidth="1"/>
    <col min="8705" max="8705" width="22.5740740740741" customWidth="1"/>
    <col min="8706" max="8706" width="3.42592592592593" customWidth="1"/>
    <col min="8707" max="8707" width="5.13888888888889" customWidth="1"/>
    <col min="8708" max="8708" width="4.57407407407407" customWidth="1"/>
    <col min="8709" max="8710" width="4" customWidth="1"/>
    <col min="8711" max="8711" width="6.13888888888889" customWidth="1"/>
    <col min="8712" max="8712" width="7.28703703703704" customWidth="1"/>
    <col min="8713" max="8713" width="9.42592592592593" customWidth="1"/>
    <col min="8714" max="8714" width="9.57407407407407" customWidth="1"/>
    <col min="8715" max="8715" width="12.8518518518519" customWidth="1"/>
    <col min="8716" max="8716" width="13.4259259259259" customWidth="1"/>
    <col min="8717" max="8717" width="13" customWidth="1"/>
    <col min="8718" max="8718" width="12.5740740740741" customWidth="1"/>
    <col min="8719" max="8720" width="14.1388888888889" customWidth="1"/>
    <col min="8721" max="8721" width="13.4259259259259" customWidth="1"/>
    <col min="8722" max="8722" width="15.4259259259259" customWidth="1"/>
    <col min="8961" max="8961" width="22.5740740740741" customWidth="1"/>
    <col min="8962" max="8962" width="3.42592592592593" customWidth="1"/>
    <col min="8963" max="8963" width="5.13888888888889" customWidth="1"/>
    <col min="8964" max="8964" width="4.57407407407407" customWidth="1"/>
    <col min="8965" max="8966" width="4" customWidth="1"/>
    <col min="8967" max="8967" width="6.13888888888889" customWidth="1"/>
    <col min="8968" max="8968" width="7.28703703703704" customWidth="1"/>
    <col min="8969" max="8969" width="9.42592592592593" customWidth="1"/>
    <col min="8970" max="8970" width="9.57407407407407" customWidth="1"/>
    <col min="8971" max="8971" width="12.8518518518519" customWidth="1"/>
    <col min="8972" max="8972" width="13.4259259259259" customWidth="1"/>
    <col min="8973" max="8973" width="13" customWidth="1"/>
    <col min="8974" max="8974" width="12.5740740740741" customWidth="1"/>
    <col min="8975" max="8976" width="14.1388888888889" customWidth="1"/>
    <col min="8977" max="8977" width="13.4259259259259" customWidth="1"/>
    <col min="8978" max="8978" width="15.4259259259259" customWidth="1"/>
    <col min="9217" max="9217" width="22.5740740740741" customWidth="1"/>
    <col min="9218" max="9218" width="3.42592592592593" customWidth="1"/>
    <col min="9219" max="9219" width="5.13888888888889" customWidth="1"/>
    <col min="9220" max="9220" width="4.57407407407407" customWidth="1"/>
    <col min="9221" max="9222" width="4" customWidth="1"/>
    <col min="9223" max="9223" width="6.13888888888889" customWidth="1"/>
    <col min="9224" max="9224" width="7.28703703703704" customWidth="1"/>
    <col min="9225" max="9225" width="9.42592592592593" customWidth="1"/>
    <col min="9226" max="9226" width="9.57407407407407" customWidth="1"/>
    <col min="9227" max="9227" width="12.8518518518519" customWidth="1"/>
    <col min="9228" max="9228" width="13.4259259259259" customWidth="1"/>
    <col min="9229" max="9229" width="13" customWidth="1"/>
    <col min="9230" max="9230" width="12.5740740740741" customWidth="1"/>
    <col min="9231" max="9232" width="14.1388888888889" customWidth="1"/>
    <col min="9233" max="9233" width="13.4259259259259" customWidth="1"/>
    <col min="9234" max="9234" width="15.4259259259259" customWidth="1"/>
    <col min="9473" max="9473" width="22.5740740740741" customWidth="1"/>
    <col min="9474" max="9474" width="3.42592592592593" customWidth="1"/>
    <col min="9475" max="9475" width="5.13888888888889" customWidth="1"/>
    <col min="9476" max="9476" width="4.57407407407407" customWidth="1"/>
    <col min="9477" max="9478" width="4" customWidth="1"/>
    <col min="9479" max="9479" width="6.13888888888889" customWidth="1"/>
    <col min="9480" max="9480" width="7.28703703703704" customWidth="1"/>
    <col min="9481" max="9481" width="9.42592592592593" customWidth="1"/>
    <col min="9482" max="9482" width="9.57407407407407" customWidth="1"/>
    <col min="9483" max="9483" width="12.8518518518519" customWidth="1"/>
    <col min="9484" max="9484" width="13.4259259259259" customWidth="1"/>
    <col min="9485" max="9485" width="13" customWidth="1"/>
    <col min="9486" max="9486" width="12.5740740740741" customWidth="1"/>
    <col min="9487" max="9488" width="14.1388888888889" customWidth="1"/>
    <col min="9489" max="9489" width="13.4259259259259" customWidth="1"/>
    <col min="9490" max="9490" width="15.4259259259259" customWidth="1"/>
    <col min="9729" max="9729" width="22.5740740740741" customWidth="1"/>
    <col min="9730" max="9730" width="3.42592592592593" customWidth="1"/>
    <col min="9731" max="9731" width="5.13888888888889" customWidth="1"/>
    <col min="9732" max="9732" width="4.57407407407407" customWidth="1"/>
    <col min="9733" max="9734" width="4" customWidth="1"/>
    <col min="9735" max="9735" width="6.13888888888889" customWidth="1"/>
    <col min="9736" max="9736" width="7.28703703703704" customWidth="1"/>
    <col min="9737" max="9737" width="9.42592592592593" customWidth="1"/>
    <col min="9738" max="9738" width="9.57407407407407" customWidth="1"/>
    <col min="9739" max="9739" width="12.8518518518519" customWidth="1"/>
    <col min="9740" max="9740" width="13.4259259259259" customWidth="1"/>
    <col min="9741" max="9741" width="13" customWidth="1"/>
    <col min="9742" max="9742" width="12.5740740740741" customWidth="1"/>
    <col min="9743" max="9744" width="14.1388888888889" customWidth="1"/>
    <col min="9745" max="9745" width="13.4259259259259" customWidth="1"/>
    <col min="9746" max="9746" width="15.4259259259259" customWidth="1"/>
    <col min="9985" max="9985" width="22.5740740740741" customWidth="1"/>
    <col min="9986" max="9986" width="3.42592592592593" customWidth="1"/>
    <col min="9987" max="9987" width="5.13888888888889" customWidth="1"/>
    <col min="9988" max="9988" width="4.57407407407407" customWidth="1"/>
    <col min="9989" max="9990" width="4" customWidth="1"/>
    <col min="9991" max="9991" width="6.13888888888889" customWidth="1"/>
    <col min="9992" max="9992" width="7.28703703703704" customWidth="1"/>
    <col min="9993" max="9993" width="9.42592592592593" customWidth="1"/>
    <col min="9994" max="9994" width="9.57407407407407" customWidth="1"/>
    <col min="9995" max="9995" width="12.8518518518519" customWidth="1"/>
    <col min="9996" max="9996" width="13.4259259259259" customWidth="1"/>
    <col min="9997" max="9997" width="13" customWidth="1"/>
    <col min="9998" max="9998" width="12.5740740740741" customWidth="1"/>
    <col min="9999" max="10000" width="14.1388888888889" customWidth="1"/>
    <col min="10001" max="10001" width="13.4259259259259" customWidth="1"/>
    <col min="10002" max="10002" width="15.4259259259259" customWidth="1"/>
    <col min="10241" max="10241" width="22.5740740740741" customWidth="1"/>
    <col min="10242" max="10242" width="3.42592592592593" customWidth="1"/>
    <col min="10243" max="10243" width="5.13888888888889" customWidth="1"/>
    <col min="10244" max="10244" width="4.57407407407407" customWidth="1"/>
    <col min="10245" max="10246" width="4" customWidth="1"/>
    <col min="10247" max="10247" width="6.13888888888889" customWidth="1"/>
    <col min="10248" max="10248" width="7.28703703703704" customWidth="1"/>
    <col min="10249" max="10249" width="9.42592592592593" customWidth="1"/>
    <col min="10250" max="10250" width="9.57407407407407" customWidth="1"/>
    <col min="10251" max="10251" width="12.8518518518519" customWidth="1"/>
    <col min="10252" max="10252" width="13.4259259259259" customWidth="1"/>
    <col min="10253" max="10253" width="13" customWidth="1"/>
    <col min="10254" max="10254" width="12.5740740740741" customWidth="1"/>
    <col min="10255" max="10256" width="14.1388888888889" customWidth="1"/>
    <col min="10257" max="10257" width="13.4259259259259" customWidth="1"/>
    <col min="10258" max="10258" width="15.4259259259259" customWidth="1"/>
    <col min="10497" max="10497" width="22.5740740740741" customWidth="1"/>
    <col min="10498" max="10498" width="3.42592592592593" customWidth="1"/>
    <col min="10499" max="10499" width="5.13888888888889" customWidth="1"/>
    <col min="10500" max="10500" width="4.57407407407407" customWidth="1"/>
    <col min="10501" max="10502" width="4" customWidth="1"/>
    <col min="10503" max="10503" width="6.13888888888889" customWidth="1"/>
    <col min="10504" max="10504" width="7.28703703703704" customWidth="1"/>
    <col min="10505" max="10505" width="9.42592592592593" customWidth="1"/>
    <col min="10506" max="10506" width="9.57407407407407" customWidth="1"/>
    <col min="10507" max="10507" width="12.8518518518519" customWidth="1"/>
    <col min="10508" max="10508" width="13.4259259259259" customWidth="1"/>
    <col min="10509" max="10509" width="13" customWidth="1"/>
    <col min="10510" max="10510" width="12.5740740740741" customWidth="1"/>
    <col min="10511" max="10512" width="14.1388888888889" customWidth="1"/>
    <col min="10513" max="10513" width="13.4259259259259" customWidth="1"/>
    <col min="10514" max="10514" width="15.4259259259259" customWidth="1"/>
    <col min="10753" max="10753" width="22.5740740740741" customWidth="1"/>
    <col min="10754" max="10754" width="3.42592592592593" customWidth="1"/>
    <col min="10755" max="10755" width="5.13888888888889" customWidth="1"/>
    <col min="10756" max="10756" width="4.57407407407407" customWidth="1"/>
    <col min="10757" max="10758" width="4" customWidth="1"/>
    <col min="10759" max="10759" width="6.13888888888889" customWidth="1"/>
    <col min="10760" max="10760" width="7.28703703703704" customWidth="1"/>
    <col min="10761" max="10761" width="9.42592592592593" customWidth="1"/>
    <col min="10762" max="10762" width="9.57407407407407" customWidth="1"/>
    <col min="10763" max="10763" width="12.8518518518519" customWidth="1"/>
    <col min="10764" max="10764" width="13.4259259259259" customWidth="1"/>
    <col min="10765" max="10765" width="13" customWidth="1"/>
    <col min="10766" max="10766" width="12.5740740740741" customWidth="1"/>
    <col min="10767" max="10768" width="14.1388888888889" customWidth="1"/>
    <col min="10769" max="10769" width="13.4259259259259" customWidth="1"/>
    <col min="10770" max="10770" width="15.4259259259259" customWidth="1"/>
    <col min="11009" max="11009" width="22.5740740740741" customWidth="1"/>
    <col min="11010" max="11010" width="3.42592592592593" customWidth="1"/>
    <col min="11011" max="11011" width="5.13888888888889" customWidth="1"/>
    <col min="11012" max="11012" width="4.57407407407407" customWidth="1"/>
    <col min="11013" max="11014" width="4" customWidth="1"/>
    <col min="11015" max="11015" width="6.13888888888889" customWidth="1"/>
    <col min="11016" max="11016" width="7.28703703703704" customWidth="1"/>
    <col min="11017" max="11017" width="9.42592592592593" customWidth="1"/>
    <col min="11018" max="11018" width="9.57407407407407" customWidth="1"/>
    <col min="11019" max="11019" width="12.8518518518519" customWidth="1"/>
    <col min="11020" max="11020" width="13.4259259259259" customWidth="1"/>
    <col min="11021" max="11021" width="13" customWidth="1"/>
    <col min="11022" max="11022" width="12.5740740740741" customWidth="1"/>
    <col min="11023" max="11024" width="14.1388888888889" customWidth="1"/>
    <col min="11025" max="11025" width="13.4259259259259" customWidth="1"/>
    <col min="11026" max="11026" width="15.4259259259259" customWidth="1"/>
    <col min="11265" max="11265" width="22.5740740740741" customWidth="1"/>
    <col min="11266" max="11266" width="3.42592592592593" customWidth="1"/>
    <col min="11267" max="11267" width="5.13888888888889" customWidth="1"/>
    <col min="11268" max="11268" width="4.57407407407407" customWidth="1"/>
    <col min="11269" max="11270" width="4" customWidth="1"/>
    <col min="11271" max="11271" width="6.13888888888889" customWidth="1"/>
    <col min="11272" max="11272" width="7.28703703703704" customWidth="1"/>
    <col min="11273" max="11273" width="9.42592592592593" customWidth="1"/>
    <col min="11274" max="11274" width="9.57407407407407" customWidth="1"/>
    <col min="11275" max="11275" width="12.8518518518519" customWidth="1"/>
    <col min="11276" max="11276" width="13.4259259259259" customWidth="1"/>
    <col min="11277" max="11277" width="13" customWidth="1"/>
    <col min="11278" max="11278" width="12.5740740740741" customWidth="1"/>
    <col min="11279" max="11280" width="14.1388888888889" customWidth="1"/>
    <col min="11281" max="11281" width="13.4259259259259" customWidth="1"/>
    <col min="11282" max="11282" width="15.4259259259259" customWidth="1"/>
    <col min="11521" max="11521" width="22.5740740740741" customWidth="1"/>
    <col min="11522" max="11522" width="3.42592592592593" customWidth="1"/>
    <col min="11523" max="11523" width="5.13888888888889" customWidth="1"/>
    <col min="11524" max="11524" width="4.57407407407407" customWidth="1"/>
    <col min="11525" max="11526" width="4" customWidth="1"/>
    <col min="11527" max="11527" width="6.13888888888889" customWidth="1"/>
    <col min="11528" max="11528" width="7.28703703703704" customWidth="1"/>
    <col min="11529" max="11529" width="9.42592592592593" customWidth="1"/>
    <col min="11530" max="11530" width="9.57407407407407" customWidth="1"/>
    <col min="11531" max="11531" width="12.8518518518519" customWidth="1"/>
    <col min="11532" max="11532" width="13.4259259259259" customWidth="1"/>
    <col min="11533" max="11533" width="13" customWidth="1"/>
    <col min="11534" max="11534" width="12.5740740740741" customWidth="1"/>
    <col min="11535" max="11536" width="14.1388888888889" customWidth="1"/>
    <col min="11537" max="11537" width="13.4259259259259" customWidth="1"/>
    <col min="11538" max="11538" width="15.4259259259259" customWidth="1"/>
    <col min="11777" max="11777" width="22.5740740740741" customWidth="1"/>
    <col min="11778" max="11778" width="3.42592592592593" customWidth="1"/>
    <col min="11779" max="11779" width="5.13888888888889" customWidth="1"/>
    <col min="11780" max="11780" width="4.57407407407407" customWidth="1"/>
    <col min="11781" max="11782" width="4" customWidth="1"/>
    <col min="11783" max="11783" width="6.13888888888889" customWidth="1"/>
    <col min="11784" max="11784" width="7.28703703703704" customWidth="1"/>
    <col min="11785" max="11785" width="9.42592592592593" customWidth="1"/>
    <col min="11786" max="11786" width="9.57407407407407" customWidth="1"/>
    <col min="11787" max="11787" width="12.8518518518519" customWidth="1"/>
    <col min="11788" max="11788" width="13.4259259259259" customWidth="1"/>
    <col min="11789" max="11789" width="13" customWidth="1"/>
    <col min="11790" max="11790" width="12.5740740740741" customWidth="1"/>
    <col min="11791" max="11792" width="14.1388888888889" customWidth="1"/>
    <col min="11793" max="11793" width="13.4259259259259" customWidth="1"/>
    <col min="11794" max="11794" width="15.4259259259259" customWidth="1"/>
    <col min="12033" max="12033" width="22.5740740740741" customWidth="1"/>
    <col min="12034" max="12034" width="3.42592592592593" customWidth="1"/>
    <col min="12035" max="12035" width="5.13888888888889" customWidth="1"/>
    <col min="12036" max="12036" width="4.57407407407407" customWidth="1"/>
    <col min="12037" max="12038" width="4" customWidth="1"/>
    <col min="12039" max="12039" width="6.13888888888889" customWidth="1"/>
    <col min="12040" max="12040" width="7.28703703703704" customWidth="1"/>
    <col min="12041" max="12041" width="9.42592592592593" customWidth="1"/>
    <col min="12042" max="12042" width="9.57407407407407" customWidth="1"/>
    <col min="12043" max="12043" width="12.8518518518519" customWidth="1"/>
    <col min="12044" max="12044" width="13.4259259259259" customWidth="1"/>
    <col min="12045" max="12045" width="13" customWidth="1"/>
    <col min="12046" max="12046" width="12.5740740740741" customWidth="1"/>
    <col min="12047" max="12048" width="14.1388888888889" customWidth="1"/>
    <col min="12049" max="12049" width="13.4259259259259" customWidth="1"/>
    <col min="12050" max="12050" width="15.4259259259259" customWidth="1"/>
    <col min="12289" max="12289" width="22.5740740740741" customWidth="1"/>
    <col min="12290" max="12290" width="3.42592592592593" customWidth="1"/>
    <col min="12291" max="12291" width="5.13888888888889" customWidth="1"/>
    <col min="12292" max="12292" width="4.57407407407407" customWidth="1"/>
    <col min="12293" max="12294" width="4" customWidth="1"/>
    <col min="12295" max="12295" width="6.13888888888889" customWidth="1"/>
    <col min="12296" max="12296" width="7.28703703703704" customWidth="1"/>
    <col min="12297" max="12297" width="9.42592592592593" customWidth="1"/>
    <col min="12298" max="12298" width="9.57407407407407" customWidth="1"/>
    <col min="12299" max="12299" width="12.8518518518519" customWidth="1"/>
    <col min="12300" max="12300" width="13.4259259259259" customWidth="1"/>
    <col min="12301" max="12301" width="13" customWidth="1"/>
    <col min="12302" max="12302" width="12.5740740740741" customWidth="1"/>
    <col min="12303" max="12304" width="14.1388888888889" customWidth="1"/>
    <col min="12305" max="12305" width="13.4259259259259" customWidth="1"/>
    <col min="12306" max="12306" width="15.4259259259259" customWidth="1"/>
    <col min="12545" max="12545" width="22.5740740740741" customWidth="1"/>
    <col min="12546" max="12546" width="3.42592592592593" customWidth="1"/>
    <col min="12547" max="12547" width="5.13888888888889" customWidth="1"/>
    <col min="12548" max="12548" width="4.57407407407407" customWidth="1"/>
    <col min="12549" max="12550" width="4" customWidth="1"/>
    <col min="12551" max="12551" width="6.13888888888889" customWidth="1"/>
    <col min="12552" max="12552" width="7.28703703703704" customWidth="1"/>
    <col min="12553" max="12553" width="9.42592592592593" customWidth="1"/>
    <col min="12554" max="12554" width="9.57407407407407" customWidth="1"/>
    <col min="12555" max="12555" width="12.8518518518519" customWidth="1"/>
    <col min="12556" max="12556" width="13.4259259259259" customWidth="1"/>
    <col min="12557" max="12557" width="13" customWidth="1"/>
    <col min="12558" max="12558" width="12.5740740740741" customWidth="1"/>
    <col min="12559" max="12560" width="14.1388888888889" customWidth="1"/>
    <col min="12561" max="12561" width="13.4259259259259" customWidth="1"/>
    <col min="12562" max="12562" width="15.4259259259259" customWidth="1"/>
    <col min="12801" max="12801" width="22.5740740740741" customWidth="1"/>
    <col min="12802" max="12802" width="3.42592592592593" customWidth="1"/>
    <col min="12803" max="12803" width="5.13888888888889" customWidth="1"/>
    <col min="12804" max="12804" width="4.57407407407407" customWidth="1"/>
    <col min="12805" max="12806" width="4" customWidth="1"/>
    <col min="12807" max="12807" width="6.13888888888889" customWidth="1"/>
    <col min="12808" max="12808" width="7.28703703703704" customWidth="1"/>
    <col min="12809" max="12809" width="9.42592592592593" customWidth="1"/>
    <col min="12810" max="12810" width="9.57407407407407" customWidth="1"/>
    <col min="12811" max="12811" width="12.8518518518519" customWidth="1"/>
    <col min="12812" max="12812" width="13.4259259259259" customWidth="1"/>
    <col min="12813" max="12813" width="13" customWidth="1"/>
    <col min="12814" max="12814" width="12.5740740740741" customWidth="1"/>
    <col min="12815" max="12816" width="14.1388888888889" customWidth="1"/>
    <col min="12817" max="12817" width="13.4259259259259" customWidth="1"/>
    <col min="12818" max="12818" width="15.4259259259259" customWidth="1"/>
    <col min="13057" max="13057" width="22.5740740740741" customWidth="1"/>
    <col min="13058" max="13058" width="3.42592592592593" customWidth="1"/>
    <col min="13059" max="13059" width="5.13888888888889" customWidth="1"/>
    <col min="13060" max="13060" width="4.57407407407407" customWidth="1"/>
    <col min="13061" max="13062" width="4" customWidth="1"/>
    <col min="13063" max="13063" width="6.13888888888889" customWidth="1"/>
    <col min="13064" max="13064" width="7.28703703703704" customWidth="1"/>
    <col min="13065" max="13065" width="9.42592592592593" customWidth="1"/>
    <col min="13066" max="13066" width="9.57407407407407" customWidth="1"/>
    <col min="13067" max="13067" width="12.8518518518519" customWidth="1"/>
    <col min="13068" max="13068" width="13.4259259259259" customWidth="1"/>
    <col min="13069" max="13069" width="13" customWidth="1"/>
    <col min="13070" max="13070" width="12.5740740740741" customWidth="1"/>
    <col min="13071" max="13072" width="14.1388888888889" customWidth="1"/>
    <col min="13073" max="13073" width="13.4259259259259" customWidth="1"/>
    <col min="13074" max="13074" width="15.4259259259259" customWidth="1"/>
    <col min="13313" max="13313" width="22.5740740740741" customWidth="1"/>
    <col min="13314" max="13314" width="3.42592592592593" customWidth="1"/>
    <col min="13315" max="13315" width="5.13888888888889" customWidth="1"/>
    <col min="13316" max="13316" width="4.57407407407407" customWidth="1"/>
    <col min="13317" max="13318" width="4" customWidth="1"/>
    <col min="13319" max="13319" width="6.13888888888889" customWidth="1"/>
    <col min="13320" max="13320" width="7.28703703703704" customWidth="1"/>
    <col min="13321" max="13321" width="9.42592592592593" customWidth="1"/>
    <col min="13322" max="13322" width="9.57407407407407" customWidth="1"/>
    <col min="13323" max="13323" width="12.8518518518519" customWidth="1"/>
    <col min="13324" max="13324" width="13.4259259259259" customWidth="1"/>
    <col min="13325" max="13325" width="13" customWidth="1"/>
    <col min="13326" max="13326" width="12.5740740740741" customWidth="1"/>
    <col min="13327" max="13328" width="14.1388888888889" customWidth="1"/>
    <col min="13329" max="13329" width="13.4259259259259" customWidth="1"/>
    <col min="13330" max="13330" width="15.4259259259259" customWidth="1"/>
    <col min="13569" max="13569" width="22.5740740740741" customWidth="1"/>
    <col min="13570" max="13570" width="3.42592592592593" customWidth="1"/>
    <col min="13571" max="13571" width="5.13888888888889" customWidth="1"/>
    <col min="13572" max="13572" width="4.57407407407407" customWidth="1"/>
    <col min="13573" max="13574" width="4" customWidth="1"/>
    <col min="13575" max="13575" width="6.13888888888889" customWidth="1"/>
    <col min="13576" max="13576" width="7.28703703703704" customWidth="1"/>
    <col min="13577" max="13577" width="9.42592592592593" customWidth="1"/>
    <col min="13578" max="13578" width="9.57407407407407" customWidth="1"/>
    <col min="13579" max="13579" width="12.8518518518519" customWidth="1"/>
    <col min="13580" max="13580" width="13.4259259259259" customWidth="1"/>
    <col min="13581" max="13581" width="13" customWidth="1"/>
    <col min="13582" max="13582" width="12.5740740740741" customWidth="1"/>
    <col min="13583" max="13584" width="14.1388888888889" customWidth="1"/>
    <col min="13585" max="13585" width="13.4259259259259" customWidth="1"/>
    <col min="13586" max="13586" width="15.4259259259259" customWidth="1"/>
    <col min="13825" max="13825" width="22.5740740740741" customWidth="1"/>
    <col min="13826" max="13826" width="3.42592592592593" customWidth="1"/>
    <col min="13827" max="13827" width="5.13888888888889" customWidth="1"/>
    <col min="13828" max="13828" width="4.57407407407407" customWidth="1"/>
    <col min="13829" max="13830" width="4" customWidth="1"/>
    <col min="13831" max="13831" width="6.13888888888889" customWidth="1"/>
    <col min="13832" max="13832" width="7.28703703703704" customWidth="1"/>
    <col min="13833" max="13833" width="9.42592592592593" customWidth="1"/>
    <col min="13834" max="13834" width="9.57407407407407" customWidth="1"/>
    <col min="13835" max="13835" width="12.8518518518519" customWidth="1"/>
    <col min="13836" max="13836" width="13.4259259259259" customWidth="1"/>
    <col min="13837" max="13837" width="13" customWidth="1"/>
    <col min="13838" max="13838" width="12.5740740740741" customWidth="1"/>
    <col min="13839" max="13840" width="14.1388888888889" customWidth="1"/>
    <col min="13841" max="13841" width="13.4259259259259" customWidth="1"/>
    <col min="13842" max="13842" width="15.4259259259259" customWidth="1"/>
    <col min="14081" max="14081" width="22.5740740740741" customWidth="1"/>
    <col min="14082" max="14082" width="3.42592592592593" customWidth="1"/>
    <col min="14083" max="14083" width="5.13888888888889" customWidth="1"/>
    <col min="14084" max="14084" width="4.57407407407407" customWidth="1"/>
    <col min="14085" max="14086" width="4" customWidth="1"/>
    <col min="14087" max="14087" width="6.13888888888889" customWidth="1"/>
    <col min="14088" max="14088" width="7.28703703703704" customWidth="1"/>
    <col min="14089" max="14089" width="9.42592592592593" customWidth="1"/>
    <col min="14090" max="14090" width="9.57407407407407" customWidth="1"/>
    <col min="14091" max="14091" width="12.8518518518519" customWidth="1"/>
    <col min="14092" max="14092" width="13.4259259259259" customWidth="1"/>
    <col min="14093" max="14093" width="13" customWidth="1"/>
    <col min="14094" max="14094" width="12.5740740740741" customWidth="1"/>
    <col min="14095" max="14096" width="14.1388888888889" customWidth="1"/>
    <col min="14097" max="14097" width="13.4259259259259" customWidth="1"/>
    <col min="14098" max="14098" width="15.4259259259259" customWidth="1"/>
    <col min="14337" max="14337" width="22.5740740740741" customWidth="1"/>
    <col min="14338" max="14338" width="3.42592592592593" customWidth="1"/>
    <col min="14339" max="14339" width="5.13888888888889" customWidth="1"/>
    <col min="14340" max="14340" width="4.57407407407407" customWidth="1"/>
    <col min="14341" max="14342" width="4" customWidth="1"/>
    <col min="14343" max="14343" width="6.13888888888889" customWidth="1"/>
    <col min="14344" max="14344" width="7.28703703703704" customWidth="1"/>
    <col min="14345" max="14345" width="9.42592592592593" customWidth="1"/>
    <col min="14346" max="14346" width="9.57407407407407" customWidth="1"/>
    <col min="14347" max="14347" width="12.8518518518519" customWidth="1"/>
    <col min="14348" max="14348" width="13.4259259259259" customWidth="1"/>
    <col min="14349" max="14349" width="13" customWidth="1"/>
    <col min="14350" max="14350" width="12.5740740740741" customWidth="1"/>
    <col min="14351" max="14352" width="14.1388888888889" customWidth="1"/>
    <col min="14353" max="14353" width="13.4259259259259" customWidth="1"/>
    <col min="14354" max="14354" width="15.4259259259259" customWidth="1"/>
    <col min="14593" max="14593" width="22.5740740740741" customWidth="1"/>
    <col min="14594" max="14594" width="3.42592592592593" customWidth="1"/>
    <col min="14595" max="14595" width="5.13888888888889" customWidth="1"/>
    <col min="14596" max="14596" width="4.57407407407407" customWidth="1"/>
    <col min="14597" max="14598" width="4" customWidth="1"/>
    <col min="14599" max="14599" width="6.13888888888889" customWidth="1"/>
    <col min="14600" max="14600" width="7.28703703703704" customWidth="1"/>
    <col min="14601" max="14601" width="9.42592592592593" customWidth="1"/>
    <col min="14602" max="14602" width="9.57407407407407" customWidth="1"/>
    <col min="14603" max="14603" width="12.8518518518519" customWidth="1"/>
    <col min="14604" max="14604" width="13.4259259259259" customWidth="1"/>
    <col min="14605" max="14605" width="13" customWidth="1"/>
    <col min="14606" max="14606" width="12.5740740740741" customWidth="1"/>
    <col min="14607" max="14608" width="14.1388888888889" customWidth="1"/>
    <col min="14609" max="14609" width="13.4259259259259" customWidth="1"/>
    <col min="14610" max="14610" width="15.4259259259259" customWidth="1"/>
    <col min="14849" max="14849" width="22.5740740740741" customWidth="1"/>
    <col min="14850" max="14850" width="3.42592592592593" customWidth="1"/>
    <col min="14851" max="14851" width="5.13888888888889" customWidth="1"/>
    <col min="14852" max="14852" width="4.57407407407407" customWidth="1"/>
    <col min="14853" max="14854" width="4" customWidth="1"/>
    <col min="14855" max="14855" width="6.13888888888889" customWidth="1"/>
    <col min="14856" max="14856" width="7.28703703703704" customWidth="1"/>
    <col min="14857" max="14857" width="9.42592592592593" customWidth="1"/>
    <col min="14858" max="14858" width="9.57407407407407" customWidth="1"/>
    <col min="14859" max="14859" width="12.8518518518519" customWidth="1"/>
    <col min="14860" max="14860" width="13.4259259259259" customWidth="1"/>
    <col min="14861" max="14861" width="13" customWidth="1"/>
    <col min="14862" max="14862" width="12.5740740740741" customWidth="1"/>
    <col min="14863" max="14864" width="14.1388888888889" customWidth="1"/>
    <col min="14865" max="14865" width="13.4259259259259" customWidth="1"/>
    <col min="14866" max="14866" width="15.4259259259259" customWidth="1"/>
    <col min="15105" max="15105" width="22.5740740740741" customWidth="1"/>
    <col min="15106" max="15106" width="3.42592592592593" customWidth="1"/>
    <col min="15107" max="15107" width="5.13888888888889" customWidth="1"/>
    <col min="15108" max="15108" width="4.57407407407407" customWidth="1"/>
    <col min="15109" max="15110" width="4" customWidth="1"/>
    <col min="15111" max="15111" width="6.13888888888889" customWidth="1"/>
    <col min="15112" max="15112" width="7.28703703703704" customWidth="1"/>
    <col min="15113" max="15113" width="9.42592592592593" customWidth="1"/>
    <col min="15114" max="15114" width="9.57407407407407" customWidth="1"/>
    <col min="15115" max="15115" width="12.8518518518519" customWidth="1"/>
    <col min="15116" max="15116" width="13.4259259259259" customWidth="1"/>
    <col min="15117" max="15117" width="13" customWidth="1"/>
    <col min="15118" max="15118" width="12.5740740740741" customWidth="1"/>
    <col min="15119" max="15120" width="14.1388888888889" customWidth="1"/>
    <col min="15121" max="15121" width="13.4259259259259" customWidth="1"/>
    <col min="15122" max="15122" width="15.4259259259259" customWidth="1"/>
    <col min="15361" max="15361" width="22.5740740740741" customWidth="1"/>
    <col min="15362" max="15362" width="3.42592592592593" customWidth="1"/>
    <col min="15363" max="15363" width="5.13888888888889" customWidth="1"/>
    <col min="15364" max="15364" width="4.57407407407407" customWidth="1"/>
    <col min="15365" max="15366" width="4" customWidth="1"/>
    <col min="15367" max="15367" width="6.13888888888889" customWidth="1"/>
    <col min="15368" max="15368" width="7.28703703703704" customWidth="1"/>
    <col min="15369" max="15369" width="9.42592592592593" customWidth="1"/>
    <col min="15370" max="15370" width="9.57407407407407" customWidth="1"/>
    <col min="15371" max="15371" width="12.8518518518519" customWidth="1"/>
    <col min="15372" max="15372" width="13.4259259259259" customWidth="1"/>
    <col min="15373" max="15373" width="13" customWidth="1"/>
    <col min="15374" max="15374" width="12.5740740740741" customWidth="1"/>
    <col min="15375" max="15376" width="14.1388888888889" customWidth="1"/>
    <col min="15377" max="15377" width="13.4259259259259" customWidth="1"/>
    <col min="15378" max="15378" width="15.4259259259259" customWidth="1"/>
    <col min="15617" max="15617" width="22.5740740740741" customWidth="1"/>
    <col min="15618" max="15618" width="3.42592592592593" customWidth="1"/>
    <col min="15619" max="15619" width="5.13888888888889" customWidth="1"/>
    <col min="15620" max="15620" width="4.57407407407407" customWidth="1"/>
    <col min="15621" max="15622" width="4" customWidth="1"/>
    <col min="15623" max="15623" width="6.13888888888889" customWidth="1"/>
    <col min="15624" max="15624" width="7.28703703703704" customWidth="1"/>
    <col min="15625" max="15625" width="9.42592592592593" customWidth="1"/>
    <col min="15626" max="15626" width="9.57407407407407" customWidth="1"/>
    <col min="15627" max="15627" width="12.8518518518519" customWidth="1"/>
    <col min="15628" max="15628" width="13.4259259259259" customWidth="1"/>
    <col min="15629" max="15629" width="13" customWidth="1"/>
    <col min="15630" max="15630" width="12.5740740740741" customWidth="1"/>
    <col min="15631" max="15632" width="14.1388888888889" customWidth="1"/>
    <col min="15633" max="15633" width="13.4259259259259" customWidth="1"/>
    <col min="15634" max="15634" width="15.4259259259259" customWidth="1"/>
    <col min="15873" max="15873" width="22.5740740740741" customWidth="1"/>
    <col min="15874" max="15874" width="3.42592592592593" customWidth="1"/>
    <col min="15875" max="15875" width="5.13888888888889" customWidth="1"/>
    <col min="15876" max="15876" width="4.57407407407407" customWidth="1"/>
    <col min="15877" max="15878" width="4" customWidth="1"/>
    <col min="15879" max="15879" width="6.13888888888889" customWidth="1"/>
    <col min="15880" max="15880" width="7.28703703703704" customWidth="1"/>
    <col min="15881" max="15881" width="9.42592592592593" customWidth="1"/>
    <col min="15882" max="15882" width="9.57407407407407" customWidth="1"/>
    <col min="15883" max="15883" width="12.8518518518519" customWidth="1"/>
    <col min="15884" max="15884" width="13.4259259259259" customWidth="1"/>
    <col min="15885" max="15885" width="13" customWidth="1"/>
    <col min="15886" max="15886" width="12.5740740740741" customWidth="1"/>
    <col min="15887" max="15888" width="14.1388888888889" customWidth="1"/>
    <col min="15889" max="15889" width="13.4259259259259" customWidth="1"/>
    <col min="15890" max="15890" width="15.4259259259259" customWidth="1"/>
    <col min="16129" max="16129" width="22.5740740740741" customWidth="1"/>
    <col min="16130" max="16130" width="3.42592592592593" customWidth="1"/>
    <col min="16131" max="16131" width="5.13888888888889" customWidth="1"/>
    <col min="16132" max="16132" width="4.57407407407407" customWidth="1"/>
    <col min="16133" max="16134" width="4" customWidth="1"/>
    <col min="16135" max="16135" width="6.13888888888889" customWidth="1"/>
    <col min="16136" max="16136" width="7.28703703703704" customWidth="1"/>
    <col min="16137" max="16137" width="9.42592592592593" customWidth="1"/>
    <col min="16138" max="16138" width="9.57407407407407" customWidth="1"/>
    <col min="16139" max="16139" width="12.8518518518519" customWidth="1"/>
    <col min="16140" max="16140" width="13.4259259259259" customWidth="1"/>
    <col min="16141" max="16141" width="13" customWidth="1"/>
    <col min="16142" max="16142" width="12.5740740740741" customWidth="1"/>
    <col min="16143" max="16144" width="14.1388888888889" customWidth="1"/>
    <col min="16145" max="16145" width="13.4259259259259" customWidth="1"/>
    <col min="16146" max="16146" width="15.4259259259259" customWidth="1"/>
  </cols>
  <sheetData>
    <row r="1" ht="15" customHeight="1" spans="1:18">
      <c r="A1" s="9" t="s">
        <v>231</v>
      </c>
      <c r="B1" s="10"/>
      <c r="C1" s="10"/>
      <c r="D1" s="10"/>
      <c r="E1" s="10"/>
      <c r="F1" s="10"/>
      <c r="G1" s="10"/>
      <c r="H1" s="98"/>
      <c r="I1" s="117"/>
      <c r="J1" s="117"/>
      <c r="K1" s="117"/>
      <c r="L1" s="118" t="s">
        <v>269</v>
      </c>
      <c r="M1" s="118"/>
      <c r="N1" s="119"/>
      <c r="O1" s="119" t="s">
        <v>270</v>
      </c>
      <c r="P1" s="120"/>
      <c r="Q1" s="127"/>
      <c r="R1" s="128"/>
    </row>
    <row r="2" ht="12.75" customHeight="1" spans="1:18">
      <c r="A2" s="99"/>
      <c r="B2" s="14"/>
      <c r="C2" s="14"/>
      <c r="D2" s="14"/>
      <c r="E2" s="14"/>
      <c r="F2" s="14"/>
      <c r="G2" s="14"/>
      <c r="H2" s="54"/>
      <c r="I2" s="121"/>
      <c r="J2" s="121"/>
      <c r="K2" s="121"/>
      <c r="L2" s="122" t="s">
        <v>286</v>
      </c>
      <c r="M2" s="122"/>
      <c r="N2" s="123"/>
      <c r="O2" s="123"/>
      <c r="P2" s="124"/>
      <c r="Q2" s="123"/>
      <c r="R2" s="129"/>
    </row>
    <row r="3" s="1" customFormat="1" ht="21" customHeight="1" spans="1:18">
      <c r="A3" s="100" t="s">
        <v>235</v>
      </c>
      <c r="B3" s="101" t="s">
        <v>236</v>
      </c>
      <c r="C3" s="102" t="s">
        <v>237</v>
      </c>
      <c r="D3" s="101" t="s">
        <v>238</v>
      </c>
      <c r="E3" s="101"/>
      <c r="F3" s="101" t="s">
        <v>239</v>
      </c>
      <c r="G3" s="103" t="s">
        <v>240</v>
      </c>
      <c r="H3" s="104" t="s">
        <v>241</v>
      </c>
      <c r="I3" s="125" t="s">
        <v>242</v>
      </c>
      <c r="J3" s="126"/>
      <c r="K3" s="126"/>
      <c r="L3" s="126"/>
      <c r="M3" s="126"/>
      <c r="N3" s="126"/>
      <c r="O3" s="126"/>
      <c r="P3" s="126"/>
      <c r="Q3" s="126"/>
      <c r="R3" s="130"/>
    </row>
    <row r="4" s="1" customFormat="1" ht="15.75" customHeight="1" spans="1:18">
      <c r="A4" s="105"/>
      <c r="B4" s="22"/>
      <c r="C4" s="23"/>
      <c r="D4" s="22"/>
      <c r="E4" s="22"/>
      <c r="F4" s="22"/>
      <c r="G4" s="24"/>
      <c r="H4" s="25"/>
      <c r="I4" s="65" t="s">
        <v>243</v>
      </c>
      <c r="J4" s="65" t="s">
        <v>244</v>
      </c>
      <c r="K4" s="65" t="s">
        <v>245</v>
      </c>
      <c r="L4" s="65" t="s">
        <v>246</v>
      </c>
      <c r="M4" s="65" t="s">
        <v>247</v>
      </c>
      <c r="N4" s="65" t="s">
        <v>248</v>
      </c>
      <c r="O4" s="65" t="s">
        <v>249</v>
      </c>
      <c r="P4" s="65" t="s">
        <v>250</v>
      </c>
      <c r="Q4" s="65" t="s">
        <v>251</v>
      </c>
      <c r="R4" s="131" t="s">
        <v>252</v>
      </c>
    </row>
    <row r="5" s="2" customFormat="1" ht="14.25" customHeight="1" spans="1:18">
      <c r="A5" s="106" t="s">
        <v>253</v>
      </c>
      <c r="B5" s="107"/>
      <c r="C5" s="107"/>
      <c r="D5" s="107"/>
      <c r="E5" s="107"/>
      <c r="F5" s="107"/>
      <c r="G5" s="107"/>
      <c r="H5" s="108"/>
      <c r="I5" s="66" t="str">
        <f>IF(E5=6,(G5*H5*0.222)," ")</f>
        <v> </v>
      </c>
      <c r="J5" s="66" t="str">
        <f>IF(E5=8,(H5*G5*0.395)," ")</f>
        <v> </v>
      </c>
      <c r="K5" s="66" t="str">
        <f>IF(E5=10,(G5*H5*0.617)," ")</f>
        <v> </v>
      </c>
      <c r="L5" s="66" t="str">
        <f>IF(E5=12,(H5*G5*0.888)," ")</f>
        <v> </v>
      </c>
      <c r="M5" s="66" t="str">
        <f>IF(E5=14,(H5*G5*1.208)," ")</f>
        <v> </v>
      </c>
      <c r="N5" s="66" t="str">
        <f>IF(E5=16,(H5*G5*1.578)," ")</f>
        <v> </v>
      </c>
      <c r="O5" s="66" t="str">
        <f>IF(E5=20,(H5*G5*2.466)," ")</f>
        <v> </v>
      </c>
      <c r="P5" s="66" t="str">
        <f>IF(E5=25,(H5*G5*3.854)," ")</f>
        <v> </v>
      </c>
      <c r="Q5" s="66" t="str">
        <f>IF(E5=32,(H5*G5*6.314)," ")</f>
        <v> </v>
      </c>
      <c r="R5" s="132" t="str">
        <f>IF(E5=40,(H5*G5*9.866)," ")</f>
        <v> </v>
      </c>
    </row>
    <row r="6" s="2" customFormat="1" ht="12" customHeight="1" spans="1:18">
      <c r="A6" s="109" t="s">
        <v>298</v>
      </c>
      <c r="B6" s="30"/>
      <c r="C6" s="31"/>
      <c r="D6" s="32"/>
      <c r="E6" s="32"/>
      <c r="F6" s="33"/>
      <c r="G6" s="33"/>
      <c r="H6" s="34"/>
      <c r="I6" s="66" t="str">
        <f t="shared" ref="I6:I12" si="0">IF(E6=6,(G6*H6*0.222)," ")</f>
        <v> </v>
      </c>
      <c r="J6" s="66" t="str">
        <f t="shared" ref="J6:J12" si="1">IF(E6=8,(H6*G6*0.395)," ")</f>
        <v> </v>
      </c>
      <c r="K6" s="66" t="str">
        <f t="shared" ref="K6:K12" si="2">IF(E6=10,(G6*H6*0.617)," ")</f>
        <v> </v>
      </c>
      <c r="L6" s="66" t="str">
        <f t="shared" ref="L6:L12" si="3">IF(E6=12,(H6*G6*0.888)," ")</f>
        <v> </v>
      </c>
      <c r="M6" s="66" t="str">
        <f t="shared" ref="M6:M12" si="4">IF(E6=14,(H6*G6*1.208)," ")</f>
        <v> </v>
      </c>
      <c r="N6" s="66" t="str">
        <f t="shared" ref="N6:N12" si="5">IF(E6=16,(H6*G6*1.578)," ")</f>
        <v> </v>
      </c>
      <c r="O6" s="66" t="str">
        <f t="shared" ref="O6:O12" si="6">IF(E6=20,(H6*G6*2.466)," ")</f>
        <v> </v>
      </c>
      <c r="P6" s="66" t="str">
        <f t="shared" ref="P6:P12" si="7">IF(E6=25,(H6*G6*3.854)," ")</f>
        <v> </v>
      </c>
      <c r="Q6" s="66" t="str">
        <f t="shared" ref="Q6:Q12" si="8">IF(E6=32,(H6*G6*6.314)," ")</f>
        <v> </v>
      </c>
      <c r="R6" s="132" t="str">
        <f t="shared" ref="R6:R12" si="9">IF(E6=40,(H6*G6*9.866)," ")</f>
        <v> </v>
      </c>
    </row>
    <row r="7" s="2" customFormat="1" ht="12" customHeight="1" spans="1:18">
      <c r="A7" s="110"/>
      <c r="B7" s="36"/>
      <c r="C7" s="33">
        <v>3</v>
      </c>
      <c r="D7" s="32" t="s">
        <v>256</v>
      </c>
      <c r="E7" s="32">
        <v>16</v>
      </c>
      <c r="F7" s="33">
        <v>1</v>
      </c>
      <c r="G7" s="33">
        <f t="shared" ref="G7:G11" si="10">F7*C7</f>
        <v>3</v>
      </c>
      <c r="H7" s="34">
        <v>5.24</v>
      </c>
      <c r="I7" s="66" t="str">
        <f t="shared" si="0"/>
        <v> </v>
      </c>
      <c r="J7" s="66" t="str">
        <f t="shared" si="1"/>
        <v> </v>
      </c>
      <c r="K7" s="66" t="str">
        <f t="shared" si="2"/>
        <v> </v>
      </c>
      <c r="L7" s="66" t="str">
        <f t="shared" si="3"/>
        <v> </v>
      </c>
      <c r="M7" s="66" t="str">
        <f t="shared" si="4"/>
        <v> </v>
      </c>
      <c r="N7" s="66">
        <f t="shared" si="5"/>
        <v>24.80616</v>
      </c>
      <c r="O7" s="66" t="str">
        <f t="shared" si="6"/>
        <v> </v>
      </c>
      <c r="P7" s="66" t="str">
        <f t="shared" si="7"/>
        <v> </v>
      </c>
      <c r="Q7" s="66" t="str">
        <f t="shared" si="8"/>
        <v> </v>
      </c>
      <c r="R7" s="132" t="str">
        <f t="shared" si="9"/>
        <v> </v>
      </c>
    </row>
    <row r="8" s="2" customFormat="1" ht="12" customHeight="1" spans="1:18">
      <c r="A8" s="110"/>
      <c r="B8" s="33"/>
      <c r="C8" s="33">
        <v>3</v>
      </c>
      <c r="D8" s="32" t="s">
        <v>256</v>
      </c>
      <c r="E8" s="32">
        <v>16</v>
      </c>
      <c r="F8" s="33">
        <v>1</v>
      </c>
      <c r="G8" s="33">
        <f t="shared" si="10"/>
        <v>3</v>
      </c>
      <c r="H8" s="34">
        <v>4.43</v>
      </c>
      <c r="I8" s="66" t="str">
        <f t="shared" si="0"/>
        <v> </v>
      </c>
      <c r="J8" s="66" t="str">
        <f t="shared" si="1"/>
        <v> </v>
      </c>
      <c r="K8" s="66" t="str">
        <f t="shared" si="2"/>
        <v> </v>
      </c>
      <c r="L8" s="66" t="str">
        <f t="shared" si="3"/>
        <v> </v>
      </c>
      <c r="M8" s="66" t="str">
        <f t="shared" si="4"/>
        <v> </v>
      </c>
      <c r="N8" s="66">
        <f t="shared" si="5"/>
        <v>20.97162</v>
      </c>
      <c r="O8" s="66" t="str">
        <f t="shared" si="6"/>
        <v> </v>
      </c>
      <c r="P8" s="66" t="str">
        <f t="shared" si="7"/>
        <v> </v>
      </c>
      <c r="Q8" s="66" t="str">
        <f t="shared" si="8"/>
        <v> </v>
      </c>
      <c r="R8" s="132" t="str">
        <f t="shared" si="9"/>
        <v> </v>
      </c>
    </row>
    <row r="9" s="2" customFormat="1" ht="12" customHeight="1" spans="1:18">
      <c r="A9" s="110"/>
      <c r="B9" s="36"/>
      <c r="C9" s="33">
        <v>33</v>
      </c>
      <c r="D9" s="32" t="s">
        <v>256</v>
      </c>
      <c r="E9" s="32">
        <v>6</v>
      </c>
      <c r="F9" s="33">
        <v>1</v>
      </c>
      <c r="G9" s="33">
        <f t="shared" si="10"/>
        <v>33</v>
      </c>
      <c r="H9" s="34">
        <v>0.55</v>
      </c>
      <c r="I9" s="66">
        <f t="shared" si="0"/>
        <v>4.0293</v>
      </c>
      <c r="J9" s="66" t="str">
        <f t="shared" si="1"/>
        <v> </v>
      </c>
      <c r="K9" s="66" t="str">
        <f t="shared" si="2"/>
        <v> </v>
      </c>
      <c r="L9" s="66" t="str">
        <f t="shared" si="3"/>
        <v> </v>
      </c>
      <c r="M9" s="66" t="str">
        <f t="shared" si="4"/>
        <v> </v>
      </c>
      <c r="N9" s="66" t="str">
        <f t="shared" si="5"/>
        <v> </v>
      </c>
      <c r="O9" s="66" t="str">
        <f t="shared" si="6"/>
        <v> </v>
      </c>
      <c r="P9" s="66" t="str">
        <f t="shared" si="7"/>
        <v> </v>
      </c>
      <c r="Q9" s="66" t="str">
        <f t="shared" si="8"/>
        <v> </v>
      </c>
      <c r="R9" s="132" t="str">
        <f t="shared" si="9"/>
        <v> </v>
      </c>
    </row>
    <row r="10" s="2" customFormat="1" ht="12" customHeight="1" spans="1:18">
      <c r="A10" s="110"/>
      <c r="B10" s="33"/>
      <c r="C10" s="33">
        <v>3</v>
      </c>
      <c r="D10" s="32" t="s">
        <v>256</v>
      </c>
      <c r="E10" s="32">
        <v>12</v>
      </c>
      <c r="F10" s="33">
        <v>1</v>
      </c>
      <c r="G10" s="33">
        <f t="shared" si="10"/>
        <v>3</v>
      </c>
      <c r="H10" s="34">
        <v>3.69</v>
      </c>
      <c r="I10" s="66" t="str">
        <f t="shared" si="0"/>
        <v> </v>
      </c>
      <c r="J10" s="66" t="str">
        <f t="shared" si="1"/>
        <v> </v>
      </c>
      <c r="K10" s="66" t="str">
        <f t="shared" si="2"/>
        <v> </v>
      </c>
      <c r="L10" s="66">
        <f t="shared" si="3"/>
        <v>9.83016</v>
      </c>
      <c r="M10" s="66" t="str">
        <f t="shared" si="4"/>
        <v> </v>
      </c>
      <c r="N10" s="66" t="str">
        <f t="shared" si="5"/>
        <v> </v>
      </c>
      <c r="O10" s="66" t="str">
        <f t="shared" si="6"/>
        <v> </v>
      </c>
      <c r="P10" s="66" t="str">
        <f t="shared" si="7"/>
        <v> </v>
      </c>
      <c r="Q10" s="66" t="str">
        <f t="shared" si="8"/>
        <v> </v>
      </c>
      <c r="R10" s="132" t="str">
        <f t="shared" si="9"/>
        <v> </v>
      </c>
    </row>
    <row r="11" s="2" customFormat="1" ht="12" customHeight="1" spans="1:18">
      <c r="A11" s="110"/>
      <c r="B11" s="36"/>
      <c r="C11" s="33">
        <v>33</v>
      </c>
      <c r="D11" s="32" t="s">
        <v>256</v>
      </c>
      <c r="E11" s="32">
        <v>6</v>
      </c>
      <c r="F11" s="33">
        <v>1</v>
      </c>
      <c r="G11" s="33">
        <f t="shared" si="10"/>
        <v>33</v>
      </c>
      <c r="H11" s="34">
        <v>1.38</v>
      </c>
      <c r="I11" s="66">
        <f t="shared" si="0"/>
        <v>10.10988</v>
      </c>
      <c r="J11" s="66" t="str">
        <f t="shared" si="1"/>
        <v> </v>
      </c>
      <c r="K11" s="66" t="str">
        <f t="shared" si="2"/>
        <v> </v>
      </c>
      <c r="L11" s="66" t="str">
        <f t="shared" si="3"/>
        <v> </v>
      </c>
      <c r="M11" s="66" t="str">
        <f t="shared" si="4"/>
        <v> </v>
      </c>
      <c r="N11" s="66" t="str">
        <f t="shared" si="5"/>
        <v> </v>
      </c>
      <c r="O11" s="66" t="str">
        <f t="shared" si="6"/>
        <v> </v>
      </c>
      <c r="P11" s="66" t="str">
        <f t="shared" si="7"/>
        <v> </v>
      </c>
      <c r="Q11" s="66" t="str">
        <f t="shared" si="8"/>
        <v> </v>
      </c>
      <c r="R11" s="132" t="str">
        <f t="shared" si="9"/>
        <v> </v>
      </c>
    </row>
    <row r="12" s="2" customFormat="1" ht="12" customHeight="1" spans="1:18">
      <c r="A12" s="111"/>
      <c r="B12" s="38"/>
      <c r="C12" s="38"/>
      <c r="D12" s="39"/>
      <c r="E12" s="39"/>
      <c r="F12" s="38"/>
      <c r="G12" s="38"/>
      <c r="H12" s="40"/>
      <c r="I12" s="66" t="str">
        <f t="shared" si="0"/>
        <v> </v>
      </c>
      <c r="J12" s="66" t="str">
        <f t="shared" si="1"/>
        <v> </v>
      </c>
      <c r="K12" s="66" t="str">
        <f t="shared" si="2"/>
        <v> </v>
      </c>
      <c r="L12" s="66" t="str">
        <f t="shared" si="3"/>
        <v> </v>
      </c>
      <c r="M12" s="66" t="str">
        <f t="shared" si="4"/>
        <v> </v>
      </c>
      <c r="N12" s="66" t="str">
        <f t="shared" si="5"/>
        <v> </v>
      </c>
      <c r="O12" s="66" t="str">
        <f t="shared" si="6"/>
        <v> </v>
      </c>
      <c r="P12" s="66" t="str">
        <f t="shared" si="7"/>
        <v> </v>
      </c>
      <c r="Q12" s="66" t="str">
        <f t="shared" si="8"/>
        <v> </v>
      </c>
      <c r="R12" s="132" t="str">
        <f t="shared" si="9"/>
        <v> </v>
      </c>
    </row>
    <row r="13" ht="17.25" customHeight="1" spans="1:21">
      <c r="A13" s="112" t="s">
        <v>259</v>
      </c>
      <c r="B13" s="42"/>
      <c r="C13" s="42"/>
      <c r="D13" s="42"/>
      <c r="E13" s="42"/>
      <c r="F13" s="42"/>
      <c r="G13" s="42"/>
      <c r="H13" s="43"/>
      <c r="I13" s="67">
        <v>0.222</v>
      </c>
      <c r="J13" s="69">
        <v>0.397</v>
      </c>
      <c r="K13" s="69">
        <v>0.617</v>
      </c>
      <c r="L13" s="69">
        <v>0.888</v>
      </c>
      <c r="M13" s="69">
        <v>1.208</v>
      </c>
      <c r="N13" s="69">
        <v>1.576</v>
      </c>
      <c r="O13" s="69">
        <v>2.47</v>
      </c>
      <c r="P13" s="69">
        <v>3.854</v>
      </c>
      <c r="Q13" s="69">
        <v>6.313</v>
      </c>
      <c r="R13" s="133">
        <v>9.866</v>
      </c>
      <c r="T13" s="83"/>
      <c r="U13" s="83"/>
    </row>
    <row r="14" ht="15" customHeight="1" spans="1:21">
      <c r="A14" s="113" t="s">
        <v>260</v>
      </c>
      <c r="B14" s="45"/>
      <c r="C14" s="45"/>
      <c r="D14" s="45"/>
      <c r="E14" s="45"/>
      <c r="F14" s="45"/>
      <c r="G14" s="45"/>
      <c r="H14" s="46"/>
      <c r="I14" s="70">
        <f>SUM(I5:I12)</f>
        <v>14.13918</v>
      </c>
      <c r="J14" s="70">
        <f t="shared" ref="J14:R14" si="11">SUM(J5:J12)</f>
        <v>0</v>
      </c>
      <c r="K14" s="70">
        <f t="shared" si="11"/>
        <v>0</v>
      </c>
      <c r="L14" s="70">
        <f t="shared" si="11"/>
        <v>9.83016</v>
      </c>
      <c r="M14" s="70">
        <f t="shared" si="11"/>
        <v>0</v>
      </c>
      <c r="N14" s="70">
        <f t="shared" si="11"/>
        <v>45.77778</v>
      </c>
      <c r="O14" s="70">
        <f t="shared" si="11"/>
        <v>0</v>
      </c>
      <c r="P14" s="70">
        <f t="shared" si="11"/>
        <v>0</v>
      </c>
      <c r="Q14" s="70">
        <f t="shared" si="11"/>
        <v>0</v>
      </c>
      <c r="R14" s="134">
        <f t="shared" si="11"/>
        <v>0</v>
      </c>
      <c r="T14" s="83"/>
      <c r="U14" s="83"/>
    </row>
    <row r="15" s="3" customFormat="1" ht="16.5" customHeight="1" spans="1:21">
      <c r="A15" s="114" t="s">
        <v>261</v>
      </c>
      <c r="B15" s="48"/>
      <c r="C15" s="48"/>
      <c r="D15" s="48"/>
      <c r="E15" s="48"/>
      <c r="F15" s="48"/>
      <c r="G15" s="48"/>
      <c r="H15" s="49"/>
      <c r="I15" s="71"/>
      <c r="J15" s="72"/>
      <c r="K15" s="72"/>
      <c r="L15" s="72"/>
      <c r="M15" s="72"/>
      <c r="N15" s="72"/>
      <c r="O15" s="72"/>
      <c r="P15" s="71"/>
      <c r="Q15" s="71"/>
      <c r="R15" s="135">
        <f>(SUM(I14:R14))</f>
        <v>69.74712</v>
      </c>
      <c r="T15" s="136">
        <f>R15+R30+R45+R60+R73+R86+R104+R121+R138+R152</f>
        <v>1499.69574</v>
      </c>
      <c r="U15" s="86"/>
    </row>
    <row r="16" s="3" customFormat="1" ht="16.5" customHeight="1" spans="1:21">
      <c r="A16" s="113"/>
      <c r="B16" s="45"/>
      <c r="C16" s="45"/>
      <c r="D16" s="45"/>
      <c r="E16" s="45"/>
      <c r="F16" s="45"/>
      <c r="G16" s="45"/>
      <c r="H16" s="45"/>
      <c r="I16" s="73"/>
      <c r="J16" s="74"/>
      <c r="K16" s="74"/>
      <c r="L16" s="74"/>
      <c r="M16" s="74"/>
      <c r="N16" s="74"/>
      <c r="O16" s="74"/>
      <c r="P16" s="73"/>
      <c r="Q16" s="73"/>
      <c r="R16" s="137"/>
      <c r="T16" s="86"/>
      <c r="U16" s="86"/>
    </row>
    <row r="17" ht="15.15" spans="1:18">
      <c r="A17" s="115"/>
      <c r="B17" s="51"/>
      <c r="C17" s="52"/>
      <c r="D17" s="53"/>
      <c r="E17" s="53"/>
      <c r="F17" s="53"/>
      <c r="G17" s="52"/>
      <c r="H17" s="54"/>
      <c r="I17" s="75"/>
      <c r="J17" s="75"/>
      <c r="K17" s="75"/>
      <c r="L17" s="75"/>
      <c r="M17" s="75"/>
      <c r="N17" s="75"/>
      <c r="O17" s="75"/>
      <c r="P17" s="75"/>
      <c r="Q17" s="123"/>
      <c r="R17" s="138"/>
    </row>
    <row r="18" s="1" customFormat="1" ht="21" customHeight="1" spans="1:18">
      <c r="A18" s="116" t="s">
        <v>235</v>
      </c>
      <c r="B18" s="17" t="s">
        <v>236</v>
      </c>
      <c r="C18" s="18" t="s">
        <v>237</v>
      </c>
      <c r="D18" s="17" t="s">
        <v>238</v>
      </c>
      <c r="E18" s="17"/>
      <c r="F18" s="17" t="s">
        <v>239</v>
      </c>
      <c r="G18" s="19" t="s">
        <v>240</v>
      </c>
      <c r="H18" s="20" t="s">
        <v>241</v>
      </c>
      <c r="I18" s="63" t="s">
        <v>242</v>
      </c>
      <c r="J18" s="64"/>
      <c r="K18" s="64"/>
      <c r="L18" s="64"/>
      <c r="M18" s="64"/>
      <c r="N18" s="64"/>
      <c r="O18" s="64"/>
      <c r="P18" s="64"/>
      <c r="Q18" s="64"/>
      <c r="R18" s="139"/>
    </row>
    <row r="19" s="1" customFormat="1" ht="15.75" customHeight="1" spans="1:18">
      <c r="A19" s="105"/>
      <c r="B19" s="22"/>
      <c r="C19" s="23"/>
      <c r="D19" s="22"/>
      <c r="E19" s="22"/>
      <c r="F19" s="22"/>
      <c r="G19" s="24"/>
      <c r="H19" s="25"/>
      <c r="I19" s="65" t="s">
        <v>243</v>
      </c>
      <c r="J19" s="65" t="s">
        <v>244</v>
      </c>
      <c r="K19" s="65" t="s">
        <v>245</v>
      </c>
      <c r="L19" s="65" t="s">
        <v>246</v>
      </c>
      <c r="M19" s="65" t="s">
        <v>247</v>
      </c>
      <c r="N19" s="65" t="s">
        <v>248</v>
      </c>
      <c r="O19" s="65" t="s">
        <v>249</v>
      </c>
      <c r="P19" s="65" t="s">
        <v>250</v>
      </c>
      <c r="Q19" s="65" t="s">
        <v>251</v>
      </c>
      <c r="R19" s="131" t="s">
        <v>252</v>
      </c>
    </row>
    <row r="20" s="2" customFormat="1" ht="14.25" customHeight="1" spans="1:18">
      <c r="A20" s="106" t="s">
        <v>253</v>
      </c>
      <c r="B20" s="107"/>
      <c r="C20" s="107"/>
      <c r="D20" s="107"/>
      <c r="E20" s="107"/>
      <c r="F20" s="107"/>
      <c r="G20" s="107"/>
      <c r="H20" s="108"/>
      <c r="I20" s="66" t="str">
        <f>IF(E20=6,(G20*H20*0.222)," ")</f>
        <v> </v>
      </c>
      <c r="J20" s="66" t="str">
        <f>IF(E20=8,(H20*G20*0.395)," ")</f>
        <v> </v>
      </c>
      <c r="K20" s="66" t="str">
        <f>IF(E20=10,(G20*H20*0.617)," ")</f>
        <v> </v>
      </c>
      <c r="L20" s="66" t="str">
        <f>IF(E20=12,(H20*G20*0.888)," ")</f>
        <v> </v>
      </c>
      <c r="M20" s="66" t="str">
        <f>IF(E20=14,(H20*G20*1.208)," ")</f>
        <v> </v>
      </c>
      <c r="N20" s="66" t="str">
        <f>IF(E20=16,(H20*G20*1.578)," ")</f>
        <v> </v>
      </c>
      <c r="O20" s="66" t="str">
        <f>IF(E20=20,(H20*G20*2.466)," ")</f>
        <v> </v>
      </c>
      <c r="P20" s="66" t="str">
        <f>IF(E20=25,(H20*G20*3.854)," ")</f>
        <v> </v>
      </c>
      <c r="Q20" s="66" t="str">
        <f>IF(E20=32,(H20*G20*6.314)," ")</f>
        <v> </v>
      </c>
      <c r="R20" s="132" t="str">
        <f>IF(E20=40,(H20*G20*9.866)," ")</f>
        <v> </v>
      </c>
    </row>
    <row r="21" s="2" customFormat="1" ht="12" customHeight="1" spans="1:18">
      <c r="A21" s="109" t="s">
        <v>299</v>
      </c>
      <c r="B21" s="30"/>
      <c r="C21" s="31"/>
      <c r="D21" s="32"/>
      <c r="E21" s="32"/>
      <c r="F21" s="33"/>
      <c r="G21" s="33"/>
      <c r="H21" s="34"/>
      <c r="I21" s="66" t="str">
        <f t="shared" ref="I21:I27" si="12">IF(E21=6,(G21*H21*0.222)," ")</f>
        <v> </v>
      </c>
      <c r="J21" s="66" t="str">
        <f t="shared" ref="J21:J27" si="13">IF(E21=8,(H21*G21*0.395)," ")</f>
        <v> </v>
      </c>
      <c r="K21" s="66" t="str">
        <f t="shared" ref="K21:K27" si="14">IF(E21=10,(G21*H21*0.617)," ")</f>
        <v> </v>
      </c>
      <c r="L21" s="66" t="str">
        <f t="shared" ref="L21:L27" si="15">IF(E21=12,(H21*G21*0.888)," ")</f>
        <v> </v>
      </c>
      <c r="M21" s="66" t="str">
        <f t="shared" ref="M21:M27" si="16">IF(E21=14,(H21*G21*1.208)," ")</f>
        <v> </v>
      </c>
      <c r="N21" s="66" t="str">
        <f t="shared" ref="N21:N27" si="17">IF(E21=16,(H21*G21*1.578)," ")</f>
        <v> </v>
      </c>
      <c r="O21" s="66" t="str">
        <f t="shared" ref="O21:O27" si="18">IF(E21=20,(H21*G21*2.466)," ")</f>
        <v> </v>
      </c>
      <c r="P21" s="66" t="str">
        <f t="shared" ref="P21:P27" si="19">IF(E21=25,(H21*G21*3.854)," ")</f>
        <v> </v>
      </c>
      <c r="Q21" s="66" t="str">
        <f t="shared" ref="Q21:Q27" si="20">IF(E21=32,(H21*G21*6.314)," ")</f>
        <v> </v>
      </c>
      <c r="R21" s="132" t="str">
        <f t="shared" ref="R21:R27" si="21">IF(E21=40,(H21*G21*9.866)," ")</f>
        <v> </v>
      </c>
    </row>
    <row r="22" s="2" customFormat="1" ht="12" customHeight="1" spans="1:18">
      <c r="A22" s="110"/>
      <c r="B22" s="36"/>
      <c r="C22" s="33">
        <v>33</v>
      </c>
      <c r="D22" s="32" t="s">
        <v>256</v>
      </c>
      <c r="E22" s="32">
        <v>6</v>
      </c>
      <c r="F22" s="33">
        <v>1</v>
      </c>
      <c r="G22" s="33">
        <f t="shared" ref="G22:G25" si="22">F22*C22</f>
        <v>33</v>
      </c>
      <c r="H22" s="34">
        <v>0.55</v>
      </c>
      <c r="I22" s="66">
        <f t="shared" si="12"/>
        <v>4.0293</v>
      </c>
      <c r="J22" s="66" t="str">
        <f t="shared" si="13"/>
        <v> </v>
      </c>
      <c r="K22" s="66" t="str">
        <f t="shared" si="14"/>
        <v> </v>
      </c>
      <c r="L22" s="66" t="str">
        <f t="shared" si="15"/>
        <v> </v>
      </c>
      <c r="M22" s="66" t="str">
        <f t="shared" si="16"/>
        <v> </v>
      </c>
      <c r="N22" s="66" t="str">
        <f t="shared" si="17"/>
        <v> </v>
      </c>
      <c r="O22" s="66" t="str">
        <f t="shared" si="18"/>
        <v> </v>
      </c>
      <c r="P22" s="66" t="str">
        <f t="shared" si="19"/>
        <v> </v>
      </c>
      <c r="Q22" s="66" t="str">
        <f t="shared" si="20"/>
        <v> </v>
      </c>
      <c r="R22" s="132" t="str">
        <f t="shared" si="21"/>
        <v> </v>
      </c>
    </row>
    <row r="23" s="2" customFormat="1" ht="12" customHeight="1" spans="1:18">
      <c r="A23" s="110"/>
      <c r="B23" s="33"/>
      <c r="C23" s="33">
        <v>3</v>
      </c>
      <c r="D23" s="32" t="s">
        <v>256</v>
      </c>
      <c r="E23" s="32">
        <v>16</v>
      </c>
      <c r="F23" s="33">
        <v>1</v>
      </c>
      <c r="G23" s="33">
        <f t="shared" si="22"/>
        <v>3</v>
      </c>
      <c r="H23" s="34">
        <v>4.43</v>
      </c>
      <c r="I23" s="66" t="str">
        <f t="shared" si="12"/>
        <v> </v>
      </c>
      <c r="J23" s="66" t="str">
        <f t="shared" si="13"/>
        <v> </v>
      </c>
      <c r="K23" s="66" t="str">
        <f t="shared" si="14"/>
        <v> </v>
      </c>
      <c r="L23" s="66" t="str">
        <f t="shared" si="15"/>
        <v> </v>
      </c>
      <c r="M23" s="66" t="str">
        <f t="shared" si="16"/>
        <v> </v>
      </c>
      <c r="N23" s="66">
        <f t="shared" si="17"/>
        <v>20.97162</v>
      </c>
      <c r="O23" s="66" t="str">
        <f t="shared" si="18"/>
        <v> </v>
      </c>
      <c r="P23" s="66" t="str">
        <f t="shared" si="19"/>
        <v> </v>
      </c>
      <c r="Q23" s="66" t="str">
        <f t="shared" si="20"/>
        <v> </v>
      </c>
      <c r="R23" s="132" t="str">
        <f t="shared" si="21"/>
        <v> </v>
      </c>
    </row>
    <row r="24" s="2" customFormat="1" ht="12" customHeight="1" spans="1:18">
      <c r="A24" s="110"/>
      <c r="B24" s="33"/>
      <c r="C24" s="33">
        <v>3</v>
      </c>
      <c r="D24" s="32" t="s">
        <v>256</v>
      </c>
      <c r="E24" s="32">
        <v>12</v>
      </c>
      <c r="F24" s="33">
        <v>1</v>
      </c>
      <c r="G24" s="33">
        <f t="shared" si="22"/>
        <v>3</v>
      </c>
      <c r="H24" s="34">
        <v>3.69</v>
      </c>
      <c r="I24" s="66" t="str">
        <f t="shared" si="12"/>
        <v> </v>
      </c>
      <c r="J24" s="66" t="str">
        <f t="shared" si="13"/>
        <v> </v>
      </c>
      <c r="K24" s="66" t="str">
        <f t="shared" si="14"/>
        <v> </v>
      </c>
      <c r="L24" s="66">
        <f t="shared" si="15"/>
        <v>9.83016</v>
      </c>
      <c r="M24" s="66" t="str">
        <f t="shared" si="16"/>
        <v> </v>
      </c>
      <c r="N24" s="66" t="str">
        <f t="shared" si="17"/>
        <v> </v>
      </c>
      <c r="O24" s="66" t="str">
        <f t="shared" si="18"/>
        <v> </v>
      </c>
      <c r="P24" s="66" t="str">
        <f t="shared" si="19"/>
        <v> </v>
      </c>
      <c r="Q24" s="66" t="str">
        <f t="shared" si="20"/>
        <v> </v>
      </c>
      <c r="R24" s="132" t="str">
        <f t="shared" si="21"/>
        <v> </v>
      </c>
    </row>
    <row r="25" s="2" customFormat="1" ht="12" customHeight="1" spans="1:18">
      <c r="A25" s="110"/>
      <c r="B25" s="33"/>
      <c r="C25" s="33">
        <v>33</v>
      </c>
      <c r="D25" s="32" t="s">
        <v>256</v>
      </c>
      <c r="E25" s="32">
        <v>6</v>
      </c>
      <c r="F25" s="33">
        <v>1</v>
      </c>
      <c r="G25" s="33">
        <f t="shared" si="22"/>
        <v>33</v>
      </c>
      <c r="H25" s="34">
        <v>1.38</v>
      </c>
      <c r="I25" s="66">
        <f t="shared" si="12"/>
        <v>10.10988</v>
      </c>
      <c r="J25" s="66" t="str">
        <f t="shared" si="13"/>
        <v> </v>
      </c>
      <c r="K25" s="66" t="str">
        <f t="shared" si="14"/>
        <v> </v>
      </c>
      <c r="L25" s="66" t="str">
        <f t="shared" si="15"/>
        <v> </v>
      </c>
      <c r="M25" s="66" t="str">
        <f t="shared" si="16"/>
        <v> </v>
      </c>
      <c r="N25" s="66" t="str">
        <f t="shared" si="17"/>
        <v> </v>
      </c>
      <c r="O25" s="66" t="str">
        <f t="shared" si="18"/>
        <v> </v>
      </c>
      <c r="P25" s="66" t="str">
        <f t="shared" si="19"/>
        <v> </v>
      </c>
      <c r="Q25" s="66" t="str">
        <f t="shared" si="20"/>
        <v> </v>
      </c>
      <c r="R25" s="132" t="str">
        <f t="shared" si="21"/>
        <v> </v>
      </c>
    </row>
    <row r="26" s="2" customFormat="1" ht="12" customHeight="1" spans="1:18">
      <c r="A26" s="110"/>
      <c r="B26" s="36"/>
      <c r="C26" s="33"/>
      <c r="D26" s="32"/>
      <c r="E26" s="32"/>
      <c r="F26" s="33"/>
      <c r="G26" s="33"/>
      <c r="H26" s="34"/>
      <c r="I26" s="66" t="str">
        <f t="shared" si="12"/>
        <v> </v>
      </c>
      <c r="J26" s="66" t="str">
        <f t="shared" si="13"/>
        <v> </v>
      </c>
      <c r="K26" s="66" t="str">
        <f t="shared" si="14"/>
        <v> </v>
      </c>
      <c r="L26" s="66" t="str">
        <f t="shared" si="15"/>
        <v> </v>
      </c>
      <c r="M26" s="66" t="str">
        <f t="shared" si="16"/>
        <v> </v>
      </c>
      <c r="N26" s="66" t="str">
        <f t="shared" si="17"/>
        <v> </v>
      </c>
      <c r="O26" s="66" t="str">
        <f t="shared" si="18"/>
        <v> </v>
      </c>
      <c r="P26" s="66" t="str">
        <f t="shared" si="19"/>
        <v> </v>
      </c>
      <c r="Q26" s="66" t="str">
        <f t="shared" si="20"/>
        <v> </v>
      </c>
      <c r="R26" s="132" t="str">
        <f t="shared" si="21"/>
        <v> </v>
      </c>
    </row>
    <row r="27" s="2" customFormat="1" ht="12" customHeight="1" spans="1:18">
      <c r="A27" s="111"/>
      <c r="B27" s="38"/>
      <c r="C27" s="38"/>
      <c r="D27" s="39"/>
      <c r="E27" s="39"/>
      <c r="F27" s="38"/>
      <c r="G27" s="38"/>
      <c r="H27" s="40"/>
      <c r="I27" s="66" t="str">
        <f t="shared" si="12"/>
        <v> </v>
      </c>
      <c r="J27" s="66" t="str">
        <f t="shared" si="13"/>
        <v> </v>
      </c>
      <c r="K27" s="66" t="str">
        <f t="shared" si="14"/>
        <v> </v>
      </c>
      <c r="L27" s="66" t="str">
        <f t="shared" si="15"/>
        <v> </v>
      </c>
      <c r="M27" s="66" t="str">
        <f t="shared" si="16"/>
        <v> </v>
      </c>
      <c r="N27" s="66" t="str">
        <f t="shared" si="17"/>
        <v> </v>
      </c>
      <c r="O27" s="66" t="str">
        <f t="shared" si="18"/>
        <v> </v>
      </c>
      <c r="P27" s="66" t="str">
        <f t="shared" si="19"/>
        <v> </v>
      </c>
      <c r="Q27" s="66" t="str">
        <f t="shared" si="20"/>
        <v> </v>
      </c>
      <c r="R27" s="132" t="str">
        <f t="shared" si="21"/>
        <v> </v>
      </c>
    </row>
    <row r="28" ht="17.25" customHeight="1" spans="1:21">
      <c r="A28" s="112" t="s">
        <v>259</v>
      </c>
      <c r="B28" s="42"/>
      <c r="C28" s="42"/>
      <c r="D28" s="42"/>
      <c r="E28" s="42"/>
      <c r="F28" s="42"/>
      <c r="G28" s="42"/>
      <c r="H28" s="43"/>
      <c r="I28" s="67">
        <v>0.222</v>
      </c>
      <c r="J28" s="69">
        <v>0.397</v>
      </c>
      <c r="K28" s="69">
        <v>0.617</v>
      </c>
      <c r="L28" s="69">
        <v>0.888</v>
      </c>
      <c r="M28" s="69">
        <v>1.208</v>
      </c>
      <c r="N28" s="69">
        <v>1.576</v>
      </c>
      <c r="O28" s="69">
        <v>2.47</v>
      </c>
      <c r="P28" s="69">
        <v>3.854</v>
      </c>
      <c r="Q28" s="69">
        <v>6.313</v>
      </c>
      <c r="R28" s="133">
        <v>9.866</v>
      </c>
      <c r="T28" s="83"/>
      <c r="U28" s="83"/>
    </row>
    <row r="29" ht="15" customHeight="1" spans="1:21">
      <c r="A29" s="113" t="s">
        <v>260</v>
      </c>
      <c r="B29" s="45"/>
      <c r="C29" s="45"/>
      <c r="D29" s="45"/>
      <c r="E29" s="45"/>
      <c r="F29" s="45"/>
      <c r="G29" s="45"/>
      <c r="H29" s="46"/>
      <c r="I29" s="70">
        <f>SUM(I20:I27)</f>
        <v>14.13918</v>
      </c>
      <c r="J29" s="70">
        <f t="shared" ref="J29:R29" si="23">SUM(J20:J27)</f>
        <v>0</v>
      </c>
      <c r="K29" s="70">
        <f t="shared" si="23"/>
        <v>0</v>
      </c>
      <c r="L29" s="70">
        <f t="shared" si="23"/>
        <v>9.83016</v>
      </c>
      <c r="M29" s="70">
        <f t="shared" si="23"/>
        <v>0</v>
      </c>
      <c r="N29" s="70">
        <f t="shared" si="23"/>
        <v>20.97162</v>
      </c>
      <c r="O29" s="70">
        <f t="shared" si="23"/>
        <v>0</v>
      </c>
      <c r="P29" s="70">
        <f t="shared" si="23"/>
        <v>0</v>
      </c>
      <c r="Q29" s="70">
        <f t="shared" si="23"/>
        <v>0</v>
      </c>
      <c r="R29" s="134">
        <f t="shared" si="23"/>
        <v>0</v>
      </c>
      <c r="T29" s="83"/>
      <c r="U29" s="83"/>
    </row>
    <row r="30" s="3" customFormat="1" ht="16.5" customHeight="1" spans="1:21">
      <c r="A30" s="114" t="s">
        <v>261</v>
      </c>
      <c r="B30" s="48"/>
      <c r="C30" s="48"/>
      <c r="D30" s="48"/>
      <c r="E30" s="48"/>
      <c r="F30" s="48"/>
      <c r="G30" s="48"/>
      <c r="H30" s="49"/>
      <c r="I30" s="71"/>
      <c r="J30" s="72"/>
      <c r="K30" s="72"/>
      <c r="L30" s="72"/>
      <c r="M30" s="72"/>
      <c r="N30" s="72"/>
      <c r="O30" s="72"/>
      <c r="P30" s="71"/>
      <c r="Q30" s="71"/>
      <c r="R30" s="135">
        <f>(SUM(I29:R29))</f>
        <v>44.94096</v>
      </c>
      <c r="T30" s="86"/>
      <c r="U30" s="86"/>
    </row>
    <row r="31" ht="15.15" spans="1:18">
      <c r="A31" s="115"/>
      <c r="B31" s="51"/>
      <c r="C31" s="52"/>
      <c r="D31" s="53"/>
      <c r="E31" s="53"/>
      <c r="F31" s="53"/>
      <c r="G31" s="52"/>
      <c r="H31" s="54"/>
      <c r="I31" s="75"/>
      <c r="J31" s="75"/>
      <c r="K31" s="75"/>
      <c r="L31" s="75"/>
      <c r="M31" s="75"/>
      <c r="N31" s="75"/>
      <c r="O31" s="75"/>
      <c r="P31" s="75"/>
      <c r="Q31" s="123"/>
      <c r="R31" s="138"/>
    </row>
    <row r="32" s="1" customFormat="1" ht="21" customHeight="1" spans="1:18">
      <c r="A32" s="116" t="s">
        <v>235</v>
      </c>
      <c r="B32" s="17" t="s">
        <v>236</v>
      </c>
      <c r="C32" s="18" t="s">
        <v>237</v>
      </c>
      <c r="D32" s="17" t="s">
        <v>238</v>
      </c>
      <c r="E32" s="17"/>
      <c r="F32" s="17" t="s">
        <v>239</v>
      </c>
      <c r="G32" s="19" t="s">
        <v>240</v>
      </c>
      <c r="H32" s="20" t="s">
        <v>241</v>
      </c>
      <c r="I32" s="63" t="s">
        <v>242</v>
      </c>
      <c r="J32" s="64"/>
      <c r="K32" s="64"/>
      <c r="L32" s="64"/>
      <c r="M32" s="64"/>
      <c r="N32" s="64"/>
      <c r="O32" s="64"/>
      <c r="P32" s="64"/>
      <c r="Q32" s="64"/>
      <c r="R32" s="139"/>
    </row>
    <row r="33" s="1" customFormat="1" ht="15.75" customHeight="1" spans="1:18">
      <c r="A33" s="105"/>
      <c r="B33" s="22"/>
      <c r="C33" s="23"/>
      <c r="D33" s="22"/>
      <c r="E33" s="22"/>
      <c r="F33" s="22"/>
      <c r="G33" s="24"/>
      <c r="H33" s="25"/>
      <c r="I33" s="65" t="s">
        <v>243</v>
      </c>
      <c r="J33" s="65" t="s">
        <v>244</v>
      </c>
      <c r="K33" s="65" t="s">
        <v>245</v>
      </c>
      <c r="L33" s="65" t="s">
        <v>246</v>
      </c>
      <c r="M33" s="65" t="s">
        <v>247</v>
      </c>
      <c r="N33" s="65" t="s">
        <v>248</v>
      </c>
      <c r="O33" s="65" t="s">
        <v>249</v>
      </c>
      <c r="P33" s="65" t="s">
        <v>250</v>
      </c>
      <c r="Q33" s="65" t="s">
        <v>251</v>
      </c>
      <c r="R33" s="131" t="s">
        <v>252</v>
      </c>
    </row>
    <row r="34" s="2" customFormat="1" ht="14.25" customHeight="1" spans="1:18">
      <c r="A34" s="106" t="s">
        <v>253</v>
      </c>
      <c r="B34" s="107"/>
      <c r="C34" s="107"/>
      <c r="D34" s="107"/>
      <c r="E34" s="107"/>
      <c r="F34" s="107"/>
      <c r="G34" s="107"/>
      <c r="H34" s="108"/>
      <c r="I34" s="66" t="str">
        <f>IF(E34=6,(G34*H34*0.222)," ")</f>
        <v> </v>
      </c>
      <c r="J34" s="66" t="str">
        <f>IF(E34=8,(H34*G34*0.395)," ")</f>
        <v> </v>
      </c>
      <c r="K34" s="66" t="str">
        <f>IF(E34=10,(G34*H34*0.617)," ")</f>
        <v> </v>
      </c>
      <c r="L34" s="66" t="str">
        <f>IF(E34=12,(H34*G34*0.888)," ")</f>
        <v> </v>
      </c>
      <c r="M34" s="66" t="str">
        <f>IF(E34=14,(H34*G34*1.208)," ")</f>
        <v> </v>
      </c>
      <c r="N34" s="66" t="str">
        <f>IF(E34=16,(H34*G34*1.578)," ")</f>
        <v> </v>
      </c>
      <c r="O34" s="66" t="str">
        <f>IF(E34=20,(H34*G34*2.466)," ")</f>
        <v> </v>
      </c>
      <c r="P34" s="66" t="str">
        <f>IF(E34=25,(H34*G34*3.854)," ")</f>
        <v> </v>
      </c>
      <c r="Q34" s="66" t="str">
        <f>IF(E34=32,(H34*G34*6.314)," ")</f>
        <v> </v>
      </c>
      <c r="R34" s="132" t="str">
        <f>IF(E34=40,(H34*G34*9.866)," ")</f>
        <v> </v>
      </c>
    </row>
    <row r="35" s="2" customFormat="1" ht="12" customHeight="1" spans="1:18">
      <c r="A35" s="109" t="s">
        <v>300</v>
      </c>
      <c r="B35" s="30"/>
      <c r="C35" s="31"/>
      <c r="D35" s="32"/>
      <c r="E35" s="32"/>
      <c r="F35" s="33"/>
      <c r="G35" s="33"/>
      <c r="H35" s="34"/>
      <c r="I35" s="66" t="str">
        <f t="shared" ref="I35:I42" si="24">IF(E35=6,(G35*H35*0.222)," ")</f>
        <v> </v>
      </c>
      <c r="J35" s="66" t="str">
        <f t="shared" ref="J35:J42" si="25">IF(E35=8,(H35*G35*0.395)," ")</f>
        <v> </v>
      </c>
      <c r="K35" s="66" t="str">
        <f t="shared" ref="K35:K42" si="26">IF(E35=10,(G35*H35*0.617)," ")</f>
        <v> </v>
      </c>
      <c r="L35" s="66" t="str">
        <f t="shared" ref="L35:L42" si="27">IF(E35=12,(H35*G35*0.888)," ")</f>
        <v> </v>
      </c>
      <c r="M35" s="66" t="str">
        <f t="shared" ref="M35:M42" si="28">IF(E35=14,(H35*G35*1.208)," ")</f>
        <v> </v>
      </c>
      <c r="N35" s="66" t="str">
        <f t="shared" ref="N35:N42" si="29">IF(E35=16,(H35*G35*1.578)," ")</f>
        <v> </v>
      </c>
      <c r="O35" s="66" t="str">
        <f t="shared" ref="O35:O42" si="30">IF(E35=20,(H35*G35*2.466)," ")</f>
        <v> </v>
      </c>
      <c r="P35" s="66" t="str">
        <f t="shared" ref="P35:P42" si="31">IF(E35=25,(H35*G35*3.854)," ")</f>
        <v> </v>
      </c>
      <c r="Q35" s="66" t="str">
        <f t="shared" ref="Q35:Q42" si="32">IF(E35=32,(H35*G35*6.314)," ")</f>
        <v> </v>
      </c>
      <c r="R35" s="132" t="str">
        <f t="shared" ref="R35:R42" si="33">IF(E35=40,(H35*G35*9.866)," ")</f>
        <v> </v>
      </c>
    </row>
    <row r="36" s="2" customFormat="1" ht="12" customHeight="1" spans="1:18">
      <c r="A36" s="110"/>
      <c r="B36" s="36"/>
      <c r="C36" s="33">
        <v>3</v>
      </c>
      <c r="D36" s="32" t="s">
        <v>256</v>
      </c>
      <c r="E36" s="32">
        <v>12</v>
      </c>
      <c r="F36" s="33">
        <v>1</v>
      </c>
      <c r="G36" s="33">
        <f t="shared" ref="G36:G40" si="34">F36*C36</f>
        <v>3</v>
      </c>
      <c r="H36" s="34">
        <v>7.85</v>
      </c>
      <c r="I36" s="66" t="str">
        <f t="shared" si="24"/>
        <v> </v>
      </c>
      <c r="J36" s="66" t="str">
        <f t="shared" si="25"/>
        <v> </v>
      </c>
      <c r="K36" s="66" t="str">
        <f t="shared" si="26"/>
        <v> </v>
      </c>
      <c r="L36" s="66">
        <f t="shared" si="27"/>
        <v>20.9124</v>
      </c>
      <c r="M36" s="66" t="str">
        <f t="shared" si="28"/>
        <v> </v>
      </c>
      <c r="N36" s="66" t="str">
        <f t="shared" si="29"/>
        <v> </v>
      </c>
      <c r="O36" s="66" t="str">
        <f t="shared" si="30"/>
        <v> </v>
      </c>
      <c r="P36" s="66" t="str">
        <f t="shared" si="31"/>
        <v> </v>
      </c>
      <c r="Q36" s="66" t="str">
        <f t="shared" si="32"/>
        <v> </v>
      </c>
      <c r="R36" s="132" t="str">
        <f t="shared" si="33"/>
        <v> </v>
      </c>
    </row>
    <row r="37" s="2" customFormat="1" ht="12" customHeight="1" spans="1:18">
      <c r="A37" s="110"/>
      <c r="B37" s="33"/>
      <c r="C37" s="33">
        <v>3</v>
      </c>
      <c r="D37" s="32" t="s">
        <v>256</v>
      </c>
      <c r="E37" s="32">
        <v>20</v>
      </c>
      <c r="F37" s="33">
        <v>1</v>
      </c>
      <c r="G37" s="33">
        <f t="shared" si="34"/>
        <v>3</v>
      </c>
      <c r="H37" s="34">
        <v>8.15</v>
      </c>
      <c r="I37" s="66" t="str">
        <f t="shared" si="24"/>
        <v> </v>
      </c>
      <c r="J37" s="66" t="str">
        <f t="shared" si="25"/>
        <v> </v>
      </c>
      <c r="K37" s="66" t="str">
        <f t="shared" si="26"/>
        <v> </v>
      </c>
      <c r="L37" s="66" t="str">
        <f t="shared" si="27"/>
        <v> </v>
      </c>
      <c r="M37" s="66" t="str">
        <f t="shared" si="28"/>
        <v> </v>
      </c>
      <c r="N37" s="66" t="str">
        <f t="shared" si="29"/>
        <v> </v>
      </c>
      <c r="O37" s="66">
        <f t="shared" si="30"/>
        <v>60.2937</v>
      </c>
      <c r="P37" s="66" t="str">
        <f t="shared" si="31"/>
        <v> </v>
      </c>
      <c r="Q37" s="66" t="str">
        <f t="shared" si="32"/>
        <v> </v>
      </c>
      <c r="R37" s="132" t="str">
        <f t="shared" si="33"/>
        <v> </v>
      </c>
    </row>
    <row r="38" s="2" customFormat="1" ht="12" customHeight="1" spans="1:18">
      <c r="A38" s="110"/>
      <c r="B38" s="36"/>
      <c r="C38" s="33">
        <v>49</v>
      </c>
      <c r="D38" s="32" t="s">
        <v>256</v>
      </c>
      <c r="E38" s="32">
        <v>6</v>
      </c>
      <c r="F38" s="33">
        <v>1</v>
      </c>
      <c r="G38" s="33">
        <f t="shared" si="34"/>
        <v>49</v>
      </c>
      <c r="H38" s="34">
        <v>0.5</v>
      </c>
      <c r="I38" s="66">
        <f t="shared" si="24"/>
        <v>5.439</v>
      </c>
      <c r="J38" s="66" t="str">
        <f t="shared" si="25"/>
        <v> </v>
      </c>
      <c r="K38" s="66" t="str">
        <f t="shared" si="26"/>
        <v> </v>
      </c>
      <c r="L38" s="66" t="str">
        <f t="shared" si="27"/>
        <v> </v>
      </c>
      <c r="M38" s="66" t="str">
        <f t="shared" si="28"/>
        <v> </v>
      </c>
      <c r="N38" s="66" t="str">
        <f t="shared" si="29"/>
        <v> </v>
      </c>
      <c r="O38" s="66" t="str">
        <f t="shared" si="30"/>
        <v> </v>
      </c>
      <c r="P38" s="66" t="str">
        <f t="shared" si="31"/>
        <v> </v>
      </c>
      <c r="Q38" s="66" t="str">
        <f t="shared" si="32"/>
        <v> </v>
      </c>
      <c r="R38" s="132" t="str">
        <f t="shared" si="33"/>
        <v> </v>
      </c>
    </row>
    <row r="39" s="2" customFormat="1" ht="12" customHeight="1" spans="1:18">
      <c r="A39" s="110"/>
      <c r="B39" s="36"/>
      <c r="C39" s="33">
        <v>49</v>
      </c>
      <c r="D39" s="32" t="s">
        <v>256</v>
      </c>
      <c r="E39" s="32">
        <v>6</v>
      </c>
      <c r="F39" s="33">
        <v>1</v>
      </c>
      <c r="G39" s="33">
        <f t="shared" si="34"/>
        <v>49</v>
      </c>
      <c r="H39" s="34">
        <v>1.18</v>
      </c>
      <c r="I39" s="66">
        <f t="shared" si="24"/>
        <v>12.83604</v>
      </c>
      <c r="J39" s="66" t="str">
        <f t="shared" si="25"/>
        <v> </v>
      </c>
      <c r="K39" s="66" t="str">
        <f t="shared" si="26"/>
        <v> </v>
      </c>
      <c r="L39" s="66" t="str">
        <f t="shared" si="27"/>
        <v> </v>
      </c>
      <c r="M39" s="66" t="str">
        <f t="shared" si="28"/>
        <v> </v>
      </c>
      <c r="N39" s="66" t="str">
        <f t="shared" si="29"/>
        <v> </v>
      </c>
      <c r="O39" s="66" t="str">
        <f t="shared" si="30"/>
        <v> </v>
      </c>
      <c r="P39" s="66" t="str">
        <f t="shared" si="31"/>
        <v> </v>
      </c>
      <c r="Q39" s="66" t="str">
        <f t="shared" si="32"/>
        <v> </v>
      </c>
      <c r="R39" s="132" t="str">
        <f t="shared" si="33"/>
        <v> </v>
      </c>
    </row>
    <row r="40" s="2" customFormat="1" ht="12" customHeight="1" spans="1:18">
      <c r="A40" s="110"/>
      <c r="B40" s="33"/>
      <c r="C40" s="33">
        <v>3</v>
      </c>
      <c r="D40" s="32" t="s">
        <v>256</v>
      </c>
      <c r="E40" s="32">
        <v>16</v>
      </c>
      <c r="F40" s="33">
        <v>1</v>
      </c>
      <c r="G40" s="33">
        <f t="shared" si="34"/>
        <v>3</v>
      </c>
      <c r="H40" s="34">
        <v>6</v>
      </c>
      <c r="I40" s="66" t="str">
        <f t="shared" si="24"/>
        <v> </v>
      </c>
      <c r="J40" s="66" t="str">
        <f t="shared" si="25"/>
        <v> </v>
      </c>
      <c r="K40" s="66" t="str">
        <f t="shared" si="26"/>
        <v> </v>
      </c>
      <c r="L40" s="66" t="str">
        <f t="shared" si="27"/>
        <v> </v>
      </c>
      <c r="M40" s="66" t="str">
        <f t="shared" si="28"/>
        <v> </v>
      </c>
      <c r="N40" s="66">
        <f t="shared" si="29"/>
        <v>28.404</v>
      </c>
      <c r="O40" s="66" t="str">
        <f t="shared" si="30"/>
        <v> </v>
      </c>
      <c r="P40" s="66" t="str">
        <f t="shared" si="31"/>
        <v> </v>
      </c>
      <c r="Q40" s="66" t="str">
        <f t="shared" si="32"/>
        <v> </v>
      </c>
      <c r="R40" s="132" t="str">
        <f t="shared" si="33"/>
        <v> </v>
      </c>
    </row>
    <row r="41" s="2" customFormat="1" ht="12" customHeight="1" spans="1:18">
      <c r="A41" s="110"/>
      <c r="B41" s="36"/>
      <c r="C41" s="33"/>
      <c r="D41" s="32"/>
      <c r="E41" s="32"/>
      <c r="F41" s="33"/>
      <c r="G41" s="33"/>
      <c r="H41" s="34"/>
      <c r="I41" s="66" t="str">
        <f t="shared" si="24"/>
        <v> </v>
      </c>
      <c r="J41" s="66" t="str">
        <f t="shared" si="25"/>
        <v> </v>
      </c>
      <c r="K41" s="66" t="str">
        <f t="shared" si="26"/>
        <v> </v>
      </c>
      <c r="L41" s="66" t="str">
        <f t="shared" si="27"/>
        <v> </v>
      </c>
      <c r="M41" s="66" t="str">
        <f t="shared" si="28"/>
        <v> </v>
      </c>
      <c r="N41" s="66" t="str">
        <f t="shared" si="29"/>
        <v> </v>
      </c>
      <c r="O41" s="66" t="str">
        <f t="shared" si="30"/>
        <v> </v>
      </c>
      <c r="P41" s="66" t="str">
        <f t="shared" si="31"/>
        <v> </v>
      </c>
      <c r="Q41" s="66" t="str">
        <f t="shared" si="32"/>
        <v> </v>
      </c>
      <c r="R41" s="132" t="str">
        <f t="shared" si="33"/>
        <v> </v>
      </c>
    </row>
    <row r="42" s="2" customFormat="1" ht="12" customHeight="1" spans="1:18">
      <c r="A42" s="111"/>
      <c r="B42" s="38"/>
      <c r="C42" s="38"/>
      <c r="D42" s="39"/>
      <c r="E42" s="39"/>
      <c r="F42" s="38"/>
      <c r="G42" s="38"/>
      <c r="H42" s="40"/>
      <c r="I42" s="66" t="str">
        <f t="shared" si="24"/>
        <v> </v>
      </c>
      <c r="J42" s="66" t="str">
        <f t="shared" si="25"/>
        <v> </v>
      </c>
      <c r="K42" s="66" t="str">
        <f t="shared" si="26"/>
        <v> </v>
      </c>
      <c r="L42" s="66" t="str">
        <f t="shared" si="27"/>
        <v> </v>
      </c>
      <c r="M42" s="66" t="str">
        <f t="shared" si="28"/>
        <v> </v>
      </c>
      <c r="N42" s="66" t="str">
        <f t="shared" si="29"/>
        <v> </v>
      </c>
      <c r="O42" s="66" t="str">
        <f t="shared" si="30"/>
        <v> </v>
      </c>
      <c r="P42" s="66" t="str">
        <f t="shared" si="31"/>
        <v> </v>
      </c>
      <c r="Q42" s="66" t="str">
        <f t="shared" si="32"/>
        <v> </v>
      </c>
      <c r="R42" s="132" t="str">
        <f t="shared" si="33"/>
        <v> </v>
      </c>
    </row>
    <row r="43" ht="17.25" customHeight="1" spans="1:21">
      <c r="A43" s="112" t="s">
        <v>259</v>
      </c>
      <c r="B43" s="42"/>
      <c r="C43" s="42"/>
      <c r="D43" s="42"/>
      <c r="E43" s="42"/>
      <c r="F43" s="42"/>
      <c r="G43" s="42"/>
      <c r="H43" s="43"/>
      <c r="I43" s="67">
        <v>0.222</v>
      </c>
      <c r="J43" s="69">
        <v>0.397</v>
      </c>
      <c r="K43" s="69">
        <v>0.617</v>
      </c>
      <c r="L43" s="69">
        <v>0.888</v>
      </c>
      <c r="M43" s="69">
        <v>1.208</v>
      </c>
      <c r="N43" s="69">
        <v>1.576</v>
      </c>
      <c r="O43" s="69">
        <v>2.47</v>
      </c>
      <c r="P43" s="69">
        <v>3.854</v>
      </c>
      <c r="Q43" s="69">
        <v>6.313</v>
      </c>
      <c r="R43" s="133">
        <v>9.866</v>
      </c>
      <c r="T43" s="83"/>
      <c r="U43" s="83"/>
    </row>
    <row r="44" ht="15" customHeight="1" spans="1:21">
      <c r="A44" s="113" t="s">
        <v>260</v>
      </c>
      <c r="B44" s="45"/>
      <c r="C44" s="45"/>
      <c r="D44" s="45"/>
      <c r="E44" s="45"/>
      <c r="F44" s="45"/>
      <c r="G44" s="45"/>
      <c r="H44" s="46"/>
      <c r="I44" s="70">
        <f>SUM(I34:I42)</f>
        <v>18.27504</v>
      </c>
      <c r="J44" s="70">
        <f t="shared" ref="J44:R44" si="35">SUM(J34:J42)</f>
        <v>0</v>
      </c>
      <c r="K44" s="70">
        <f t="shared" si="35"/>
        <v>0</v>
      </c>
      <c r="L44" s="70">
        <f t="shared" si="35"/>
        <v>20.9124</v>
      </c>
      <c r="M44" s="70">
        <f t="shared" si="35"/>
        <v>0</v>
      </c>
      <c r="N44" s="70">
        <f t="shared" si="35"/>
        <v>28.404</v>
      </c>
      <c r="O44" s="70">
        <f t="shared" si="35"/>
        <v>60.2937</v>
      </c>
      <c r="P44" s="70">
        <f t="shared" si="35"/>
        <v>0</v>
      </c>
      <c r="Q44" s="70">
        <f t="shared" si="35"/>
        <v>0</v>
      </c>
      <c r="R44" s="134">
        <f t="shared" si="35"/>
        <v>0</v>
      </c>
      <c r="T44" s="83"/>
      <c r="U44" s="83"/>
    </row>
    <row r="45" s="3" customFormat="1" ht="16.5" customHeight="1" spans="1:21">
      <c r="A45" s="114" t="s">
        <v>261</v>
      </c>
      <c r="B45" s="48"/>
      <c r="C45" s="48"/>
      <c r="D45" s="48"/>
      <c r="E45" s="48"/>
      <c r="F45" s="48"/>
      <c r="G45" s="48"/>
      <c r="H45" s="49"/>
      <c r="I45" s="71"/>
      <c r="J45" s="72"/>
      <c r="K45" s="72"/>
      <c r="L45" s="72"/>
      <c r="M45" s="72"/>
      <c r="N45" s="72"/>
      <c r="O45" s="72"/>
      <c r="P45" s="71"/>
      <c r="Q45" s="71"/>
      <c r="R45" s="135">
        <f>(SUM(I44:R44))</f>
        <v>127.88514</v>
      </c>
      <c r="T45" s="86"/>
      <c r="U45" s="86"/>
    </row>
    <row r="46" ht="15.15" spans="1:18">
      <c r="A46" s="115"/>
      <c r="B46" s="51"/>
      <c r="C46" s="52"/>
      <c r="D46" s="53"/>
      <c r="E46" s="53"/>
      <c r="F46" s="53"/>
      <c r="G46" s="52"/>
      <c r="H46" s="54"/>
      <c r="I46" s="75"/>
      <c r="J46" s="75"/>
      <c r="K46" s="75"/>
      <c r="L46" s="75"/>
      <c r="M46" s="75"/>
      <c r="N46" s="75"/>
      <c r="O46" s="75"/>
      <c r="P46" s="75"/>
      <c r="Q46" s="123"/>
      <c r="R46" s="138"/>
    </row>
    <row r="47" s="1" customFormat="1" ht="21" customHeight="1" spans="1:18">
      <c r="A47" s="116" t="s">
        <v>235</v>
      </c>
      <c r="B47" s="17" t="s">
        <v>236</v>
      </c>
      <c r="C47" s="18" t="s">
        <v>237</v>
      </c>
      <c r="D47" s="17" t="s">
        <v>238</v>
      </c>
      <c r="E47" s="17"/>
      <c r="F47" s="17" t="s">
        <v>239</v>
      </c>
      <c r="G47" s="19" t="s">
        <v>240</v>
      </c>
      <c r="H47" s="20" t="s">
        <v>241</v>
      </c>
      <c r="I47" s="63" t="s">
        <v>242</v>
      </c>
      <c r="J47" s="64"/>
      <c r="K47" s="64"/>
      <c r="L47" s="64"/>
      <c r="M47" s="64"/>
      <c r="N47" s="64"/>
      <c r="O47" s="64"/>
      <c r="P47" s="64"/>
      <c r="Q47" s="64"/>
      <c r="R47" s="139"/>
    </row>
    <row r="48" s="1" customFormat="1" ht="15.75" customHeight="1" spans="1:18">
      <c r="A48" s="105"/>
      <c r="B48" s="22"/>
      <c r="C48" s="23"/>
      <c r="D48" s="22"/>
      <c r="E48" s="22"/>
      <c r="F48" s="22"/>
      <c r="G48" s="24"/>
      <c r="H48" s="25"/>
      <c r="I48" s="65" t="s">
        <v>243</v>
      </c>
      <c r="J48" s="65" t="s">
        <v>244</v>
      </c>
      <c r="K48" s="65" t="s">
        <v>245</v>
      </c>
      <c r="L48" s="65" t="s">
        <v>246</v>
      </c>
      <c r="M48" s="65" t="s">
        <v>247</v>
      </c>
      <c r="N48" s="65" t="s">
        <v>248</v>
      </c>
      <c r="O48" s="65" t="s">
        <v>249</v>
      </c>
      <c r="P48" s="65" t="s">
        <v>250</v>
      </c>
      <c r="Q48" s="65" t="s">
        <v>251</v>
      </c>
      <c r="R48" s="131" t="s">
        <v>252</v>
      </c>
    </row>
    <row r="49" s="2" customFormat="1" ht="14.25" customHeight="1" spans="1:18">
      <c r="A49" s="106" t="s">
        <v>253</v>
      </c>
      <c r="B49" s="107"/>
      <c r="C49" s="107"/>
      <c r="D49" s="107"/>
      <c r="E49" s="107"/>
      <c r="F49" s="107"/>
      <c r="G49" s="107"/>
      <c r="H49" s="108"/>
      <c r="I49" s="66" t="str">
        <f>IF(E49=6,(G49*H49*0.222)," ")</f>
        <v> </v>
      </c>
      <c r="J49" s="66" t="str">
        <f>IF(E49=8,(H49*G49*0.395)," ")</f>
        <v> </v>
      </c>
      <c r="K49" s="66" t="str">
        <f>IF(E49=10,(G49*H49*0.617)," ")</f>
        <v> </v>
      </c>
      <c r="L49" s="66" t="str">
        <f>IF(E49=12,(H49*G49*0.888)," ")</f>
        <v> </v>
      </c>
      <c r="M49" s="66" t="str">
        <f>IF(E49=14,(H49*G49*1.208)," ")</f>
        <v> </v>
      </c>
      <c r="N49" s="66" t="str">
        <f>IF(E49=16,(H49*G49*1.578)," ")</f>
        <v> </v>
      </c>
      <c r="O49" s="66" t="str">
        <f>IF(E49=20,(H49*G49*2.466)," ")</f>
        <v> </v>
      </c>
      <c r="P49" s="66" t="str">
        <f>IF(E49=25,(H49*G49*3.854)," ")</f>
        <v> </v>
      </c>
      <c r="Q49" s="66" t="str">
        <f>IF(E49=32,(H49*G49*6.314)," ")</f>
        <v> </v>
      </c>
      <c r="R49" s="132" t="str">
        <f>IF(E49=40,(H49*G49*9.866)," ")</f>
        <v> </v>
      </c>
    </row>
    <row r="50" s="2" customFormat="1" ht="12" customHeight="1" spans="1:18">
      <c r="A50" s="109" t="s">
        <v>301</v>
      </c>
      <c r="B50" s="30"/>
      <c r="C50" s="31"/>
      <c r="D50" s="32"/>
      <c r="E50" s="32"/>
      <c r="F50" s="33"/>
      <c r="G50" s="33"/>
      <c r="H50" s="34"/>
      <c r="I50" s="66" t="str">
        <f t="shared" ref="I50:I57" si="36">IF(E50=6,(G50*H50*0.222)," ")</f>
        <v> </v>
      </c>
      <c r="J50" s="66" t="str">
        <f t="shared" ref="J50:J57" si="37">IF(E50=8,(H50*G50*0.395)," ")</f>
        <v> </v>
      </c>
      <c r="K50" s="66" t="str">
        <f t="shared" ref="K50:K57" si="38">IF(E50=10,(G50*H50*0.617)," ")</f>
        <v> </v>
      </c>
      <c r="L50" s="66" t="str">
        <f t="shared" ref="L50:L57" si="39">IF(E50=12,(H50*G50*0.888)," ")</f>
        <v> </v>
      </c>
      <c r="M50" s="66" t="str">
        <f t="shared" ref="M50:M57" si="40">IF(E50=14,(H50*G50*1.208)," ")</f>
        <v> </v>
      </c>
      <c r="N50" s="66" t="str">
        <f t="shared" ref="N50:N57" si="41">IF(E50=16,(H50*G50*1.578)," ")</f>
        <v> </v>
      </c>
      <c r="O50" s="66" t="str">
        <f t="shared" ref="O50:O57" si="42">IF(E50=20,(H50*G50*2.466)," ")</f>
        <v> </v>
      </c>
      <c r="P50" s="66" t="str">
        <f t="shared" ref="P50:P57" si="43">IF(E50=25,(H50*G50*3.854)," ")</f>
        <v> </v>
      </c>
      <c r="Q50" s="66" t="str">
        <f t="shared" ref="Q50:Q57" si="44">IF(E50=32,(H50*G50*6.314)," ")</f>
        <v> </v>
      </c>
      <c r="R50" s="132" t="str">
        <f t="shared" ref="R50:R57" si="45">IF(E50=40,(H50*G50*9.866)," ")</f>
        <v> </v>
      </c>
    </row>
    <row r="51" s="2" customFormat="1" ht="12" customHeight="1" spans="1:18">
      <c r="A51" s="110"/>
      <c r="B51" s="36"/>
      <c r="C51" s="33">
        <v>3</v>
      </c>
      <c r="D51" s="32" t="s">
        <v>256</v>
      </c>
      <c r="E51" s="32">
        <v>12</v>
      </c>
      <c r="F51" s="33">
        <v>2</v>
      </c>
      <c r="G51" s="33">
        <f t="shared" ref="G51:G55" si="46">F51*C51</f>
        <v>6</v>
      </c>
      <c r="H51" s="34">
        <v>7.85</v>
      </c>
      <c r="I51" s="66" t="str">
        <f t="shared" si="36"/>
        <v> </v>
      </c>
      <c r="J51" s="66" t="str">
        <f t="shared" si="37"/>
        <v> </v>
      </c>
      <c r="K51" s="66" t="str">
        <f t="shared" si="38"/>
        <v> </v>
      </c>
      <c r="L51" s="66">
        <f t="shared" si="39"/>
        <v>41.8248</v>
      </c>
      <c r="M51" s="66" t="str">
        <f t="shared" si="40"/>
        <v> </v>
      </c>
      <c r="N51" s="66" t="str">
        <f t="shared" si="41"/>
        <v> </v>
      </c>
      <c r="O51" s="66" t="str">
        <f t="shared" si="42"/>
        <v> </v>
      </c>
      <c r="P51" s="66" t="str">
        <f t="shared" si="43"/>
        <v> </v>
      </c>
      <c r="Q51" s="66" t="str">
        <f t="shared" si="44"/>
        <v> </v>
      </c>
      <c r="R51" s="132" t="str">
        <f t="shared" si="45"/>
        <v> </v>
      </c>
    </row>
    <row r="52" s="2" customFormat="1" ht="12" customHeight="1" spans="1:18">
      <c r="A52" s="110"/>
      <c r="B52" s="33"/>
      <c r="C52" s="33">
        <v>3</v>
      </c>
      <c r="D52" s="32" t="s">
        <v>256</v>
      </c>
      <c r="E52" s="32">
        <v>20</v>
      </c>
      <c r="F52" s="33">
        <v>2</v>
      </c>
      <c r="G52" s="33">
        <f t="shared" si="46"/>
        <v>6</v>
      </c>
      <c r="H52" s="34">
        <v>8.15</v>
      </c>
      <c r="I52" s="66" t="str">
        <f t="shared" si="36"/>
        <v> </v>
      </c>
      <c r="J52" s="66" t="str">
        <f t="shared" si="37"/>
        <v> </v>
      </c>
      <c r="K52" s="66" t="str">
        <f t="shared" si="38"/>
        <v> </v>
      </c>
      <c r="L52" s="66" t="str">
        <f t="shared" si="39"/>
        <v> </v>
      </c>
      <c r="M52" s="66" t="str">
        <f t="shared" si="40"/>
        <v> </v>
      </c>
      <c r="N52" s="66" t="str">
        <f t="shared" si="41"/>
        <v> </v>
      </c>
      <c r="O52" s="66">
        <f t="shared" si="42"/>
        <v>120.5874</v>
      </c>
      <c r="P52" s="66" t="str">
        <f t="shared" si="43"/>
        <v> </v>
      </c>
      <c r="Q52" s="66" t="str">
        <f t="shared" si="44"/>
        <v> </v>
      </c>
      <c r="R52" s="132" t="str">
        <f t="shared" si="45"/>
        <v> </v>
      </c>
    </row>
    <row r="53" s="2" customFormat="1" ht="12" customHeight="1" spans="1:18">
      <c r="A53" s="110"/>
      <c r="B53" s="36"/>
      <c r="C53" s="33">
        <v>49</v>
      </c>
      <c r="D53" s="32" t="s">
        <v>256</v>
      </c>
      <c r="E53" s="32">
        <v>6</v>
      </c>
      <c r="F53" s="33">
        <v>2</v>
      </c>
      <c r="G53" s="33">
        <f t="shared" si="46"/>
        <v>98</v>
      </c>
      <c r="H53" s="34">
        <v>0.5</v>
      </c>
      <c r="I53" s="66">
        <f t="shared" si="36"/>
        <v>10.878</v>
      </c>
      <c r="J53" s="66" t="str">
        <f t="shared" si="37"/>
        <v> </v>
      </c>
      <c r="K53" s="66" t="str">
        <f t="shared" si="38"/>
        <v> </v>
      </c>
      <c r="L53" s="66" t="str">
        <f t="shared" si="39"/>
        <v> </v>
      </c>
      <c r="M53" s="66" t="str">
        <f t="shared" si="40"/>
        <v> </v>
      </c>
      <c r="N53" s="66" t="str">
        <f t="shared" si="41"/>
        <v> </v>
      </c>
      <c r="O53" s="66" t="str">
        <f t="shared" si="42"/>
        <v> </v>
      </c>
      <c r="P53" s="66" t="str">
        <f t="shared" si="43"/>
        <v> </v>
      </c>
      <c r="Q53" s="66" t="str">
        <f t="shared" si="44"/>
        <v> </v>
      </c>
      <c r="R53" s="132" t="str">
        <f t="shared" si="45"/>
        <v> </v>
      </c>
    </row>
    <row r="54" s="2" customFormat="1" ht="12" customHeight="1" spans="1:18">
      <c r="A54" s="110"/>
      <c r="B54" s="33"/>
      <c r="C54" s="33">
        <v>49</v>
      </c>
      <c r="D54" s="32" t="s">
        <v>256</v>
      </c>
      <c r="E54" s="32">
        <v>6</v>
      </c>
      <c r="F54" s="33">
        <v>2</v>
      </c>
      <c r="G54" s="33">
        <f t="shared" si="46"/>
        <v>98</v>
      </c>
      <c r="H54" s="34">
        <v>1.18</v>
      </c>
      <c r="I54" s="66">
        <f t="shared" si="36"/>
        <v>25.67208</v>
      </c>
      <c r="J54" s="66" t="str">
        <f t="shared" si="37"/>
        <v> </v>
      </c>
      <c r="K54" s="66" t="str">
        <f t="shared" si="38"/>
        <v> </v>
      </c>
      <c r="L54" s="66" t="str">
        <f t="shared" si="39"/>
        <v> </v>
      </c>
      <c r="M54" s="66" t="str">
        <f t="shared" si="40"/>
        <v> </v>
      </c>
      <c r="N54" s="66" t="str">
        <f t="shared" si="41"/>
        <v> </v>
      </c>
      <c r="O54" s="66" t="str">
        <f t="shared" si="42"/>
        <v> </v>
      </c>
      <c r="P54" s="66" t="str">
        <f t="shared" si="43"/>
        <v> </v>
      </c>
      <c r="Q54" s="66" t="str">
        <f t="shared" si="44"/>
        <v> </v>
      </c>
      <c r="R54" s="132" t="str">
        <f t="shared" si="45"/>
        <v> </v>
      </c>
    </row>
    <row r="55" s="2" customFormat="1" ht="12" customHeight="1" spans="1:18">
      <c r="A55" s="110"/>
      <c r="B55" s="33"/>
      <c r="C55" s="33">
        <v>3</v>
      </c>
      <c r="D55" s="32" t="s">
        <v>256</v>
      </c>
      <c r="E55" s="32">
        <v>16</v>
      </c>
      <c r="F55" s="33">
        <v>2</v>
      </c>
      <c r="G55" s="33">
        <f t="shared" si="46"/>
        <v>6</v>
      </c>
      <c r="H55" s="34">
        <v>6</v>
      </c>
      <c r="I55" s="66" t="str">
        <f t="shared" si="36"/>
        <v> </v>
      </c>
      <c r="J55" s="66" t="str">
        <f t="shared" si="37"/>
        <v> </v>
      </c>
      <c r="K55" s="66" t="str">
        <f t="shared" si="38"/>
        <v> </v>
      </c>
      <c r="L55" s="66" t="str">
        <f t="shared" si="39"/>
        <v> </v>
      </c>
      <c r="M55" s="66" t="str">
        <f t="shared" si="40"/>
        <v> </v>
      </c>
      <c r="N55" s="66">
        <f t="shared" si="41"/>
        <v>56.808</v>
      </c>
      <c r="O55" s="66" t="str">
        <f t="shared" si="42"/>
        <v> </v>
      </c>
      <c r="P55" s="66" t="str">
        <f t="shared" si="43"/>
        <v> </v>
      </c>
      <c r="Q55" s="66" t="str">
        <f t="shared" si="44"/>
        <v> </v>
      </c>
      <c r="R55" s="132" t="str">
        <f t="shared" si="45"/>
        <v> </v>
      </c>
    </row>
    <row r="56" s="2" customFormat="1" ht="12" customHeight="1" spans="1:18">
      <c r="A56" s="110"/>
      <c r="B56" s="36"/>
      <c r="C56" s="33"/>
      <c r="D56" s="32"/>
      <c r="E56" s="32"/>
      <c r="F56" s="33"/>
      <c r="G56" s="33"/>
      <c r="H56" s="34"/>
      <c r="I56" s="66" t="str">
        <f t="shared" si="36"/>
        <v> </v>
      </c>
      <c r="J56" s="66" t="str">
        <f t="shared" si="37"/>
        <v> </v>
      </c>
      <c r="K56" s="66" t="str">
        <f t="shared" si="38"/>
        <v> </v>
      </c>
      <c r="L56" s="66" t="str">
        <f t="shared" si="39"/>
        <v> </v>
      </c>
      <c r="M56" s="66" t="str">
        <f t="shared" si="40"/>
        <v> </v>
      </c>
      <c r="N56" s="66" t="str">
        <f t="shared" si="41"/>
        <v> </v>
      </c>
      <c r="O56" s="66" t="str">
        <f t="shared" si="42"/>
        <v> </v>
      </c>
      <c r="P56" s="66" t="str">
        <f t="shared" si="43"/>
        <v> </v>
      </c>
      <c r="Q56" s="66" t="str">
        <f t="shared" si="44"/>
        <v> </v>
      </c>
      <c r="R56" s="132" t="str">
        <f t="shared" si="45"/>
        <v> </v>
      </c>
    </row>
    <row r="57" s="2" customFormat="1" ht="12" customHeight="1" spans="1:18">
      <c r="A57" s="111"/>
      <c r="B57" s="38"/>
      <c r="C57" s="38"/>
      <c r="D57" s="39"/>
      <c r="E57" s="39"/>
      <c r="F57" s="38"/>
      <c r="G57" s="38"/>
      <c r="H57" s="40"/>
      <c r="I57" s="66" t="str">
        <f t="shared" si="36"/>
        <v> </v>
      </c>
      <c r="J57" s="66" t="str">
        <f t="shared" si="37"/>
        <v> </v>
      </c>
      <c r="K57" s="66" t="str">
        <f t="shared" si="38"/>
        <v> </v>
      </c>
      <c r="L57" s="66" t="str">
        <f t="shared" si="39"/>
        <v> </v>
      </c>
      <c r="M57" s="66" t="str">
        <f t="shared" si="40"/>
        <v> </v>
      </c>
      <c r="N57" s="66" t="str">
        <f t="shared" si="41"/>
        <v> </v>
      </c>
      <c r="O57" s="66" t="str">
        <f t="shared" si="42"/>
        <v> </v>
      </c>
      <c r="P57" s="66" t="str">
        <f t="shared" si="43"/>
        <v> </v>
      </c>
      <c r="Q57" s="66" t="str">
        <f t="shared" si="44"/>
        <v> </v>
      </c>
      <c r="R57" s="132" t="str">
        <f t="shared" si="45"/>
        <v> </v>
      </c>
    </row>
    <row r="58" ht="17.25" customHeight="1" spans="1:21">
      <c r="A58" s="112" t="s">
        <v>259</v>
      </c>
      <c r="B58" s="42"/>
      <c r="C58" s="42"/>
      <c r="D58" s="42"/>
      <c r="E58" s="42"/>
      <c r="F58" s="42"/>
      <c r="G58" s="42"/>
      <c r="H58" s="43"/>
      <c r="I58" s="67">
        <v>0.222</v>
      </c>
      <c r="J58" s="69">
        <v>0.397</v>
      </c>
      <c r="K58" s="69">
        <v>0.617</v>
      </c>
      <c r="L58" s="69">
        <v>0.888</v>
      </c>
      <c r="M58" s="69">
        <v>1.208</v>
      </c>
      <c r="N58" s="69">
        <v>1.576</v>
      </c>
      <c r="O58" s="69">
        <v>2.47</v>
      </c>
      <c r="P58" s="69">
        <v>3.854</v>
      </c>
      <c r="Q58" s="69">
        <v>6.313</v>
      </c>
      <c r="R58" s="133">
        <v>9.866</v>
      </c>
      <c r="T58" s="83"/>
      <c r="U58" s="83"/>
    </row>
    <row r="59" ht="15" customHeight="1" spans="1:21">
      <c r="A59" s="113" t="s">
        <v>260</v>
      </c>
      <c r="B59" s="45"/>
      <c r="C59" s="45"/>
      <c r="D59" s="45"/>
      <c r="E59" s="45"/>
      <c r="F59" s="45"/>
      <c r="G59" s="45"/>
      <c r="H59" s="46"/>
      <c r="I59" s="70">
        <f>SUM(I49:I57)</f>
        <v>36.55008</v>
      </c>
      <c r="J59" s="70">
        <f t="shared" ref="J59:R59" si="47">SUM(J49:J57)</f>
        <v>0</v>
      </c>
      <c r="K59" s="70">
        <f t="shared" si="47"/>
        <v>0</v>
      </c>
      <c r="L59" s="70">
        <f t="shared" si="47"/>
        <v>41.8248</v>
      </c>
      <c r="M59" s="70">
        <f t="shared" si="47"/>
        <v>0</v>
      </c>
      <c r="N59" s="70">
        <f t="shared" si="47"/>
        <v>56.808</v>
      </c>
      <c r="O59" s="70">
        <f t="shared" si="47"/>
        <v>120.5874</v>
      </c>
      <c r="P59" s="70">
        <f t="shared" si="47"/>
        <v>0</v>
      </c>
      <c r="Q59" s="70">
        <f t="shared" si="47"/>
        <v>0</v>
      </c>
      <c r="R59" s="134">
        <f t="shared" si="47"/>
        <v>0</v>
      </c>
      <c r="T59" s="83"/>
      <c r="U59" s="83"/>
    </row>
    <row r="60" s="3" customFormat="1" ht="16.5" customHeight="1" spans="1:21">
      <c r="A60" s="114" t="s">
        <v>261</v>
      </c>
      <c r="B60" s="48"/>
      <c r="C60" s="48"/>
      <c r="D60" s="48"/>
      <c r="E60" s="48"/>
      <c r="F60" s="48"/>
      <c r="G60" s="48"/>
      <c r="H60" s="49"/>
      <c r="I60" s="71"/>
      <c r="J60" s="72"/>
      <c r="K60" s="72"/>
      <c r="L60" s="72"/>
      <c r="M60" s="72"/>
      <c r="N60" s="72"/>
      <c r="O60" s="72"/>
      <c r="P60" s="71"/>
      <c r="Q60" s="71"/>
      <c r="R60" s="135">
        <f>(SUM(I59:R59))</f>
        <v>255.77028</v>
      </c>
      <c r="T60" s="86"/>
      <c r="U60" s="86"/>
    </row>
    <row r="61" ht="15.15" spans="1:18">
      <c r="A61" s="115"/>
      <c r="B61" s="51"/>
      <c r="C61" s="52"/>
      <c r="D61" s="53"/>
      <c r="E61" s="53"/>
      <c r="F61" s="53"/>
      <c r="G61" s="52"/>
      <c r="H61" s="54"/>
      <c r="I61" s="75"/>
      <c r="J61" s="75"/>
      <c r="K61" s="75"/>
      <c r="L61" s="75"/>
      <c r="M61" s="75"/>
      <c r="N61" s="75"/>
      <c r="O61" s="75"/>
      <c r="P61" s="75"/>
      <c r="Q61" s="123"/>
      <c r="R61" s="138"/>
    </row>
    <row r="62" s="1" customFormat="1" ht="21" customHeight="1" spans="1:18">
      <c r="A62" s="116" t="s">
        <v>235</v>
      </c>
      <c r="B62" s="17" t="s">
        <v>236</v>
      </c>
      <c r="C62" s="18" t="s">
        <v>237</v>
      </c>
      <c r="D62" s="17" t="s">
        <v>238</v>
      </c>
      <c r="E62" s="17"/>
      <c r="F62" s="17" t="s">
        <v>239</v>
      </c>
      <c r="G62" s="19" t="s">
        <v>240</v>
      </c>
      <c r="H62" s="20" t="s">
        <v>241</v>
      </c>
      <c r="I62" s="63" t="s">
        <v>242</v>
      </c>
      <c r="J62" s="64"/>
      <c r="K62" s="64"/>
      <c r="L62" s="64"/>
      <c r="M62" s="64"/>
      <c r="N62" s="64"/>
      <c r="O62" s="64"/>
      <c r="P62" s="64"/>
      <c r="Q62" s="64"/>
      <c r="R62" s="139"/>
    </row>
    <row r="63" s="1" customFormat="1" ht="15.75" customHeight="1" spans="1:18">
      <c r="A63" s="105"/>
      <c r="B63" s="22"/>
      <c r="C63" s="23"/>
      <c r="D63" s="22"/>
      <c r="E63" s="22"/>
      <c r="F63" s="22"/>
      <c r="G63" s="24"/>
      <c r="H63" s="25"/>
      <c r="I63" s="65" t="s">
        <v>243</v>
      </c>
      <c r="J63" s="65" t="s">
        <v>244</v>
      </c>
      <c r="K63" s="65" t="s">
        <v>245</v>
      </c>
      <c r="L63" s="65" t="s">
        <v>246</v>
      </c>
      <c r="M63" s="65" t="s">
        <v>247</v>
      </c>
      <c r="N63" s="65" t="s">
        <v>248</v>
      </c>
      <c r="O63" s="65" t="s">
        <v>249</v>
      </c>
      <c r="P63" s="65" t="s">
        <v>250</v>
      </c>
      <c r="Q63" s="65" t="s">
        <v>251</v>
      </c>
      <c r="R63" s="131" t="s">
        <v>252</v>
      </c>
    </row>
    <row r="64" s="2" customFormat="1" ht="14.25" customHeight="1" spans="1:18">
      <c r="A64" s="106" t="s">
        <v>253</v>
      </c>
      <c r="B64" s="107"/>
      <c r="C64" s="107"/>
      <c r="D64" s="107"/>
      <c r="E64" s="107"/>
      <c r="F64" s="107"/>
      <c r="G64" s="107"/>
      <c r="H64" s="108"/>
      <c r="I64" s="66" t="str">
        <f>IF(E64=6,(G64*H64*0.222)," ")</f>
        <v> </v>
      </c>
      <c r="J64" s="66" t="str">
        <f>IF(E64=8,(H64*G64*0.395)," ")</f>
        <v> </v>
      </c>
      <c r="K64" s="66" t="str">
        <f>IF(E64=10,(G64*H64*0.617)," ")</f>
        <v> </v>
      </c>
      <c r="L64" s="66" t="str">
        <f>IF(E64=12,(H64*G64*0.888)," ")</f>
        <v> </v>
      </c>
      <c r="M64" s="66" t="str">
        <f>IF(E64=14,(H64*G64*1.208)," ")</f>
        <v> </v>
      </c>
      <c r="N64" s="66" t="str">
        <f>IF(E64=16,(H64*G64*1.578)," ")</f>
        <v> </v>
      </c>
      <c r="O64" s="66" t="str">
        <f>IF(E64=20,(H64*G64*2.466)," ")</f>
        <v> </v>
      </c>
      <c r="P64" s="66" t="str">
        <f>IF(E64=25,(H64*G64*3.854)," ")</f>
        <v> </v>
      </c>
      <c r="Q64" s="66" t="str">
        <f>IF(E64=32,(H64*G64*6.314)," ")</f>
        <v> </v>
      </c>
      <c r="R64" s="132" t="str">
        <f>IF(E64=40,(H64*G64*9.866)," ")</f>
        <v> </v>
      </c>
    </row>
    <row r="65" s="2" customFormat="1" ht="12" customHeight="1" spans="1:18">
      <c r="A65" s="109" t="s">
        <v>302</v>
      </c>
      <c r="B65" s="30"/>
      <c r="C65" s="31"/>
      <c r="D65" s="32"/>
      <c r="E65" s="32"/>
      <c r="F65" s="33"/>
      <c r="G65" s="33"/>
      <c r="H65" s="34"/>
      <c r="I65" s="66" t="str">
        <f t="shared" ref="I65:I70" si="48">IF(E65=6,(G65*H65*0.222)," ")</f>
        <v> </v>
      </c>
      <c r="J65" s="66" t="str">
        <f t="shared" ref="J65:J70" si="49">IF(E65=8,(H65*G65*0.395)," ")</f>
        <v> </v>
      </c>
      <c r="K65" s="66" t="str">
        <f t="shared" ref="K65:K70" si="50">IF(E65=10,(G65*H65*0.617)," ")</f>
        <v> </v>
      </c>
      <c r="L65" s="66" t="str">
        <f t="shared" ref="L65:L70" si="51">IF(E65=12,(H65*G65*0.888)," ")</f>
        <v> </v>
      </c>
      <c r="M65" s="66" t="str">
        <f t="shared" ref="M65:M70" si="52">IF(E65=14,(H65*G65*1.208)," ")</f>
        <v> </v>
      </c>
      <c r="N65" s="66" t="str">
        <f t="shared" ref="N65:N70" si="53">IF(E65=16,(H65*G65*1.578)," ")</f>
        <v> </v>
      </c>
      <c r="O65" s="66" t="str">
        <f t="shared" ref="O65:O70" si="54">IF(E65=20,(H65*G65*2.466)," ")</f>
        <v> </v>
      </c>
      <c r="P65" s="66" t="str">
        <f t="shared" ref="P65:P70" si="55">IF(E65=25,(H65*G65*3.854)," ")</f>
        <v> </v>
      </c>
      <c r="Q65" s="66" t="str">
        <f t="shared" ref="Q65:Q70" si="56">IF(E65=32,(H65*G65*6.314)," ")</f>
        <v> </v>
      </c>
      <c r="R65" s="132" t="str">
        <f t="shared" ref="R65:R70" si="57">IF(E65=40,(H65*G65*9.866)," ")</f>
        <v> </v>
      </c>
    </row>
    <row r="66" s="2" customFormat="1" ht="12" customHeight="1" spans="1:18">
      <c r="A66" s="110"/>
      <c r="B66" s="36"/>
      <c r="C66" s="33">
        <v>6</v>
      </c>
      <c r="D66" s="32" t="s">
        <v>256</v>
      </c>
      <c r="E66" s="32">
        <v>16</v>
      </c>
      <c r="F66" s="33">
        <v>2</v>
      </c>
      <c r="G66" s="33">
        <f t="shared" ref="G66:G68" si="58">F66*C66</f>
        <v>12</v>
      </c>
      <c r="H66" s="34">
        <v>4.6</v>
      </c>
      <c r="I66" s="66" t="str">
        <f t="shared" si="48"/>
        <v> </v>
      </c>
      <c r="J66" s="66" t="str">
        <f t="shared" si="49"/>
        <v> </v>
      </c>
      <c r="K66" s="66" t="str">
        <f t="shared" si="50"/>
        <v> </v>
      </c>
      <c r="L66" s="66" t="str">
        <f t="shared" si="51"/>
        <v> </v>
      </c>
      <c r="M66" s="66" t="str">
        <f t="shared" si="52"/>
        <v> </v>
      </c>
      <c r="N66" s="66">
        <f t="shared" si="53"/>
        <v>87.1056</v>
      </c>
      <c r="O66" s="66" t="str">
        <f t="shared" si="54"/>
        <v> </v>
      </c>
      <c r="P66" s="66" t="str">
        <f t="shared" si="55"/>
        <v> </v>
      </c>
      <c r="Q66" s="66" t="str">
        <f t="shared" si="56"/>
        <v> </v>
      </c>
      <c r="R66" s="132" t="str">
        <f t="shared" si="57"/>
        <v> </v>
      </c>
    </row>
    <row r="67" s="2" customFormat="1" ht="12" customHeight="1" spans="1:18">
      <c r="A67" s="110"/>
      <c r="B67" s="33"/>
      <c r="C67" s="33">
        <v>25</v>
      </c>
      <c r="D67" s="32" t="s">
        <v>256</v>
      </c>
      <c r="E67" s="32">
        <v>6</v>
      </c>
      <c r="F67" s="33">
        <v>2</v>
      </c>
      <c r="G67" s="33">
        <f t="shared" si="58"/>
        <v>50</v>
      </c>
      <c r="H67" s="34">
        <v>0.55</v>
      </c>
      <c r="I67" s="66">
        <f t="shared" si="48"/>
        <v>6.105</v>
      </c>
      <c r="J67" s="66" t="str">
        <f t="shared" si="49"/>
        <v> </v>
      </c>
      <c r="K67" s="66" t="str">
        <f t="shared" si="50"/>
        <v> </v>
      </c>
      <c r="L67" s="66" t="str">
        <f t="shared" si="51"/>
        <v> </v>
      </c>
      <c r="M67" s="66" t="str">
        <f t="shared" si="52"/>
        <v> </v>
      </c>
      <c r="N67" s="66" t="str">
        <f t="shared" si="53"/>
        <v> </v>
      </c>
      <c r="O67" s="66" t="str">
        <f t="shared" si="54"/>
        <v> </v>
      </c>
      <c r="P67" s="66" t="str">
        <f t="shared" si="55"/>
        <v> </v>
      </c>
      <c r="Q67" s="66" t="str">
        <f t="shared" si="56"/>
        <v> </v>
      </c>
      <c r="R67" s="132" t="str">
        <f t="shared" si="57"/>
        <v> </v>
      </c>
    </row>
    <row r="68" s="2" customFormat="1" ht="12" customHeight="1" spans="1:18">
      <c r="A68" s="110"/>
      <c r="B68" s="36"/>
      <c r="C68" s="33">
        <v>25</v>
      </c>
      <c r="D68" s="32" t="s">
        <v>256</v>
      </c>
      <c r="E68" s="32">
        <v>6</v>
      </c>
      <c r="F68" s="33">
        <v>2</v>
      </c>
      <c r="G68" s="33">
        <f t="shared" si="58"/>
        <v>50</v>
      </c>
      <c r="H68" s="34">
        <v>1.38</v>
      </c>
      <c r="I68" s="66">
        <f t="shared" si="48"/>
        <v>15.318</v>
      </c>
      <c r="J68" s="66" t="str">
        <f t="shared" si="49"/>
        <v> </v>
      </c>
      <c r="K68" s="66" t="str">
        <f t="shared" si="50"/>
        <v> </v>
      </c>
      <c r="L68" s="66" t="str">
        <f t="shared" si="51"/>
        <v> </v>
      </c>
      <c r="M68" s="66" t="str">
        <f t="shared" si="52"/>
        <v> </v>
      </c>
      <c r="N68" s="66" t="str">
        <f t="shared" si="53"/>
        <v> </v>
      </c>
      <c r="O68" s="66" t="str">
        <f t="shared" si="54"/>
        <v> </v>
      </c>
      <c r="P68" s="66" t="str">
        <f t="shared" si="55"/>
        <v> </v>
      </c>
      <c r="Q68" s="66" t="str">
        <f t="shared" si="56"/>
        <v> </v>
      </c>
      <c r="R68" s="132" t="str">
        <f t="shared" si="57"/>
        <v> </v>
      </c>
    </row>
    <row r="69" s="2" customFormat="1" ht="12" customHeight="1" spans="1:18">
      <c r="A69" s="110"/>
      <c r="B69" s="36"/>
      <c r="C69" s="33"/>
      <c r="D69" s="32"/>
      <c r="E69" s="32"/>
      <c r="F69" s="33"/>
      <c r="G69" s="33"/>
      <c r="H69" s="34"/>
      <c r="I69" s="66" t="str">
        <f t="shared" si="48"/>
        <v> </v>
      </c>
      <c r="J69" s="66" t="str">
        <f t="shared" si="49"/>
        <v> </v>
      </c>
      <c r="K69" s="66" t="str">
        <f t="shared" si="50"/>
        <v> </v>
      </c>
      <c r="L69" s="66" t="str">
        <f t="shared" si="51"/>
        <v> </v>
      </c>
      <c r="M69" s="66" t="str">
        <f t="shared" si="52"/>
        <v> </v>
      </c>
      <c r="N69" s="66" t="str">
        <f t="shared" si="53"/>
        <v> </v>
      </c>
      <c r="O69" s="66" t="str">
        <f t="shared" si="54"/>
        <v> </v>
      </c>
      <c r="P69" s="66" t="str">
        <f t="shared" si="55"/>
        <v> </v>
      </c>
      <c r="Q69" s="66" t="str">
        <f t="shared" si="56"/>
        <v> </v>
      </c>
      <c r="R69" s="132" t="str">
        <f t="shared" si="57"/>
        <v> </v>
      </c>
    </row>
    <row r="70" s="2" customFormat="1" ht="12" customHeight="1" spans="1:18">
      <c r="A70" s="111"/>
      <c r="B70" s="38"/>
      <c r="C70" s="38"/>
      <c r="D70" s="39"/>
      <c r="E70" s="39"/>
      <c r="F70" s="38"/>
      <c r="G70" s="38"/>
      <c r="H70" s="40"/>
      <c r="I70" s="66" t="str">
        <f t="shared" si="48"/>
        <v> </v>
      </c>
      <c r="J70" s="66" t="str">
        <f t="shared" si="49"/>
        <v> </v>
      </c>
      <c r="K70" s="66" t="str">
        <f t="shared" si="50"/>
        <v> </v>
      </c>
      <c r="L70" s="66" t="str">
        <f t="shared" si="51"/>
        <v> </v>
      </c>
      <c r="M70" s="66" t="str">
        <f t="shared" si="52"/>
        <v> </v>
      </c>
      <c r="N70" s="66" t="str">
        <f t="shared" si="53"/>
        <v> </v>
      </c>
      <c r="O70" s="66" t="str">
        <f t="shared" si="54"/>
        <v> </v>
      </c>
      <c r="P70" s="66" t="str">
        <f t="shared" si="55"/>
        <v> </v>
      </c>
      <c r="Q70" s="66" t="str">
        <f t="shared" si="56"/>
        <v> </v>
      </c>
      <c r="R70" s="132" t="str">
        <f t="shared" si="57"/>
        <v> </v>
      </c>
    </row>
    <row r="71" ht="17.25" customHeight="1" spans="1:21">
      <c r="A71" s="112" t="s">
        <v>259</v>
      </c>
      <c r="B71" s="42"/>
      <c r="C71" s="42"/>
      <c r="D71" s="42"/>
      <c r="E71" s="42"/>
      <c r="F71" s="42"/>
      <c r="G71" s="42"/>
      <c r="H71" s="43"/>
      <c r="I71" s="67">
        <v>0.222</v>
      </c>
      <c r="J71" s="69">
        <v>0.397</v>
      </c>
      <c r="K71" s="69">
        <v>0.617</v>
      </c>
      <c r="L71" s="69">
        <v>0.888</v>
      </c>
      <c r="M71" s="69">
        <v>1.208</v>
      </c>
      <c r="N71" s="69">
        <v>1.576</v>
      </c>
      <c r="O71" s="69">
        <v>2.47</v>
      </c>
      <c r="P71" s="69">
        <v>3.854</v>
      </c>
      <c r="Q71" s="69">
        <v>6.313</v>
      </c>
      <c r="R71" s="133">
        <v>9.866</v>
      </c>
      <c r="T71" s="83"/>
      <c r="U71" s="83"/>
    </row>
    <row r="72" ht="15" customHeight="1" spans="1:21">
      <c r="A72" s="113" t="s">
        <v>260</v>
      </c>
      <c r="B72" s="45"/>
      <c r="C72" s="45"/>
      <c r="D72" s="45"/>
      <c r="E72" s="45"/>
      <c r="F72" s="45"/>
      <c r="G72" s="45"/>
      <c r="H72" s="46"/>
      <c r="I72" s="70">
        <f>SUM(I64:I70)</f>
        <v>21.423</v>
      </c>
      <c r="J72" s="70">
        <f t="shared" ref="J72:R72" si="59">SUM(J64:J70)</f>
        <v>0</v>
      </c>
      <c r="K72" s="70">
        <f t="shared" si="59"/>
        <v>0</v>
      </c>
      <c r="L72" s="70">
        <f t="shared" si="59"/>
        <v>0</v>
      </c>
      <c r="M72" s="70">
        <f t="shared" si="59"/>
        <v>0</v>
      </c>
      <c r="N72" s="70">
        <f t="shared" si="59"/>
        <v>87.1056</v>
      </c>
      <c r="O72" s="70">
        <f t="shared" si="59"/>
        <v>0</v>
      </c>
      <c r="P72" s="70">
        <f t="shared" si="59"/>
        <v>0</v>
      </c>
      <c r="Q72" s="70">
        <f t="shared" si="59"/>
        <v>0</v>
      </c>
      <c r="R72" s="134">
        <f t="shared" si="59"/>
        <v>0</v>
      </c>
      <c r="T72" s="83"/>
      <c r="U72" s="83"/>
    </row>
    <row r="73" s="3" customFormat="1" ht="16.5" customHeight="1" spans="1:21">
      <c r="A73" s="114" t="s">
        <v>261</v>
      </c>
      <c r="B73" s="48"/>
      <c r="C73" s="48"/>
      <c r="D73" s="48"/>
      <c r="E73" s="48"/>
      <c r="F73" s="48"/>
      <c r="G73" s="48"/>
      <c r="H73" s="49"/>
      <c r="I73" s="71"/>
      <c r="J73" s="72"/>
      <c r="K73" s="72"/>
      <c r="L73" s="72"/>
      <c r="M73" s="72"/>
      <c r="N73" s="72"/>
      <c r="O73" s="72"/>
      <c r="P73" s="71"/>
      <c r="Q73" s="71"/>
      <c r="R73" s="135">
        <f>(SUM(I72:R72))</f>
        <v>108.5286</v>
      </c>
      <c r="T73" s="86"/>
      <c r="U73" s="86"/>
    </row>
    <row r="74" ht="15.15" spans="1:18">
      <c r="A74" s="115"/>
      <c r="B74" s="51"/>
      <c r="C74" s="52"/>
      <c r="D74" s="53"/>
      <c r="E74" s="53"/>
      <c r="F74" s="53"/>
      <c r="G74" s="52"/>
      <c r="H74" s="54"/>
      <c r="I74" s="75"/>
      <c r="J74" s="75"/>
      <c r="K74" s="75"/>
      <c r="L74" s="75"/>
      <c r="M74" s="75"/>
      <c r="N74" s="75"/>
      <c r="O74" s="75"/>
      <c r="P74" s="75"/>
      <c r="Q74" s="123"/>
      <c r="R74" s="138"/>
    </row>
    <row r="75" s="1" customFormat="1" ht="21" customHeight="1" spans="1:18">
      <c r="A75" s="116" t="s">
        <v>235</v>
      </c>
      <c r="B75" s="17" t="s">
        <v>236</v>
      </c>
      <c r="C75" s="18" t="s">
        <v>237</v>
      </c>
      <c r="D75" s="17" t="s">
        <v>238</v>
      </c>
      <c r="E75" s="17"/>
      <c r="F75" s="17" t="s">
        <v>239</v>
      </c>
      <c r="G75" s="19" t="s">
        <v>240</v>
      </c>
      <c r="H75" s="20" t="s">
        <v>241</v>
      </c>
      <c r="I75" s="63" t="s">
        <v>242</v>
      </c>
      <c r="J75" s="64"/>
      <c r="K75" s="64"/>
      <c r="L75" s="64"/>
      <c r="M75" s="64"/>
      <c r="N75" s="64"/>
      <c r="O75" s="64"/>
      <c r="P75" s="64"/>
      <c r="Q75" s="64"/>
      <c r="R75" s="139"/>
    </row>
    <row r="76" s="1" customFormat="1" ht="15.75" customHeight="1" spans="1:18">
      <c r="A76" s="105"/>
      <c r="B76" s="22"/>
      <c r="C76" s="23"/>
      <c r="D76" s="22"/>
      <c r="E76" s="22"/>
      <c r="F76" s="22"/>
      <c r="G76" s="24"/>
      <c r="H76" s="25"/>
      <c r="I76" s="65" t="s">
        <v>243</v>
      </c>
      <c r="J76" s="65" t="s">
        <v>244</v>
      </c>
      <c r="K76" s="65" t="s">
        <v>245</v>
      </c>
      <c r="L76" s="65" t="s">
        <v>246</v>
      </c>
      <c r="M76" s="65" t="s">
        <v>247</v>
      </c>
      <c r="N76" s="65" t="s">
        <v>248</v>
      </c>
      <c r="O76" s="65" t="s">
        <v>249</v>
      </c>
      <c r="P76" s="65" t="s">
        <v>250</v>
      </c>
      <c r="Q76" s="65" t="s">
        <v>251</v>
      </c>
      <c r="R76" s="131" t="s">
        <v>252</v>
      </c>
    </row>
    <row r="77" s="2" customFormat="1" ht="14.25" customHeight="1" spans="1:18">
      <c r="A77" s="106" t="s">
        <v>253</v>
      </c>
      <c r="B77" s="107"/>
      <c r="C77" s="107"/>
      <c r="D77" s="107"/>
      <c r="E77" s="107"/>
      <c r="F77" s="107"/>
      <c r="G77" s="107"/>
      <c r="H77" s="108"/>
      <c r="I77" s="66" t="str">
        <f>IF(E77=6,(G77*H77*0.222)," ")</f>
        <v> </v>
      </c>
      <c r="J77" s="66" t="str">
        <f>IF(E77=8,(H77*G77*0.395)," ")</f>
        <v> </v>
      </c>
      <c r="K77" s="66" t="str">
        <f>IF(E77=10,(G77*H77*0.617)," ")</f>
        <v> </v>
      </c>
      <c r="L77" s="66" t="str">
        <f>IF(E77=12,(H77*G77*0.888)," ")</f>
        <v> </v>
      </c>
      <c r="M77" s="66" t="str">
        <f>IF(E77=14,(H77*G77*1.208)," ")</f>
        <v> </v>
      </c>
      <c r="N77" s="66" t="str">
        <f>IF(E77=16,(H77*G77*1.578)," ")</f>
        <v> </v>
      </c>
      <c r="O77" s="66" t="str">
        <f>IF(E77=20,(H77*G77*2.466)," ")</f>
        <v> </v>
      </c>
      <c r="P77" s="66" t="str">
        <f>IF(E77=25,(H77*G77*3.854)," ")</f>
        <v> </v>
      </c>
      <c r="Q77" s="66" t="str">
        <f>IF(E77=32,(H77*G77*6.314)," ")</f>
        <v> </v>
      </c>
      <c r="R77" s="132" t="str">
        <f>IF(E77=40,(H77*G77*9.866)," ")</f>
        <v> </v>
      </c>
    </row>
    <row r="78" s="2" customFormat="1" ht="12" customHeight="1" spans="1:18">
      <c r="A78" s="109" t="s">
        <v>303</v>
      </c>
      <c r="B78" s="30"/>
      <c r="C78" s="31"/>
      <c r="D78" s="32"/>
      <c r="E78" s="32"/>
      <c r="F78" s="33"/>
      <c r="G78" s="33"/>
      <c r="H78" s="34"/>
      <c r="I78" s="66" t="str">
        <f t="shared" ref="I78:I83" si="60">IF(E78=6,(G78*H78*0.222)," ")</f>
        <v> </v>
      </c>
      <c r="J78" s="66" t="str">
        <f t="shared" ref="J78:J83" si="61">IF(E78=8,(H78*G78*0.395)," ")</f>
        <v> </v>
      </c>
      <c r="K78" s="66" t="str">
        <f t="shared" ref="K78:K83" si="62">IF(E78=10,(G78*H78*0.617)," ")</f>
        <v> </v>
      </c>
      <c r="L78" s="66" t="str">
        <f t="shared" ref="L78:L83" si="63">IF(E78=12,(H78*G78*0.888)," ")</f>
        <v> </v>
      </c>
      <c r="M78" s="66" t="str">
        <f t="shared" ref="M78:M83" si="64">IF(E78=14,(H78*G78*1.208)," ")</f>
        <v> </v>
      </c>
      <c r="N78" s="66" t="str">
        <f t="shared" ref="N78:N83" si="65">IF(E78=16,(H78*G78*1.578)," ")</f>
        <v> </v>
      </c>
      <c r="O78" s="66" t="str">
        <f t="shared" ref="O78:O83" si="66">IF(E78=20,(H78*G78*2.466)," ")</f>
        <v> </v>
      </c>
      <c r="P78" s="66" t="str">
        <f t="shared" ref="P78:P83" si="67">IF(E78=25,(H78*G78*3.854)," ")</f>
        <v> </v>
      </c>
      <c r="Q78" s="66" t="str">
        <f t="shared" ref="Q78:Q83" si="68">IF(E78=32,(H78*G78*6.314)," ")</f>
        <v> </v>
      </c>
      <c r="R78" s="132" t="str">
        <f t="shared" ref="R78:R83" si="69">IF(E78=40,(H78*G78*9.866)," ")</f>
        <v> </v>
      </c>
    </row>
    <row r="79" s="2" customFormat="1" ht="12" customHeight="1" spans="1:18">
      <c r="A79" s="110"/>
      <c r="B79" s="36"/>
      <c r="C79" s="33">
        <v>6</v>
      </c>
      <c r="D79" s="32" t="s">
        <v>256</v>
      </c>
      <c r="E79" s="32">
        <v>16</v>
      </c>
      <c r="F79" s="33">
        <v>2</v>
      </c>
      <c r="G79" s="33">
        <f t="shared" ref="G79:G81" si="70">F79*C79</f>
        <v>12</v>
      </c>
      <c r="H79" s="34">
        <v>4.09</v>
      </c>
      <c r="I79" s="66" t="str">
        <f t="shared" si="60"/>
        <v> </v>
      </c>
      <c r="J79" s="66" t="str">
        <f t="shared" si="61"/>
        <v> </v>
      </c>
      <c r="K79" s="66" t="str">
        <f t="shared" si="62"/>
        <v> </v>
      </c>
      <c r="L79" s="66" t="str">
        <f t="shared" si="63"/>
        <v> </v>
      </c>
      <c r="M79" s="66" t="str">
        <f t="shared" si="64"/>
        <v> </v>
      </c>
      <c r="N79" s="66">
        <f t="shared" si="65"/>
        <v>77.44824</v>
      </c>
      <c r="O79" s="66" t="str">
        <f t="shared" si="66"/>
        <v> </v>
      </c>
      <c r="P79" s="66" t="str">
        <f t="shared" si="67"/>
        <v> </v>
      </c>
      <c r="Q79" s="66" t="str">
        <f t="shared" si="68"/>
        <v> </v>
      </c>
      <c r="R79" s="132" t="str">
        <f t="shared" si="69"/>
        <v> </v>
      </c>
    </row>
    <row r="80" s="2" customFormat="1" ht="12" customHeight="1" spans="1:18">
      <c r="A80" s="110"/>
      <c r="B80" s="33"/>
      <c r="C80" s="33">
        <v>22</v>
      </c>
      <c r="D80" s="32" t="s">
        <v>256</v>
      </c>
      <c r="E80" s="32">
        <v>6</v>
      </c>
      <c r="F80" s="33">
        <v>2</v>
      </c>
      <c r="G80" s="33">
        <f t="shared" si="70"/>
        <v>44</v>
      </c>
      <c r="H80" s="34">
        <v>0.55</v>
      </c>
      <c r="I80" s="66">
        <f t="shared" si="60"/>
        <v>5.3724</v>
      </c>
      <c r="J80" s="66" t="str">
        <f t="shared" si="61"/>
        <v> </v>
      </c>
      <c r="K80" s="66" t="str">
        <f t="shared" si="62"/>
        <v> </v>
      </c>
      <c r="L80" s="66" t="str">
        <f t="shared" si="63"/>
        <v> </v>
      </c>
      <c r="M80" s="66" t="str">
        <f t="shared" si="64"/>
        <v> </v>
      </c>
      <c r="N80" s="66" t="str">
        <f t="shared" si="65"/>
        <v> </v>
      </c>
      <c r="O80" s="66" t="str">
        <f t="shared" si="66"/>
        <v> </v>
      </c>
      <c r="P80" s="66" t="str">
        <f t="shared" si="67"/>
        <v> </v>
      </c>
      <c r="Q80" s="66" t="str">
        <f t="shared" si="68"/>
        <v> </v>
      </c>
      <c r="R80" s="132" t="str">
        <f t="shared" si="69"/>
        <v> </v>
      </c>
    </row>
    <row r="81" s="2" customFormat="1" ht="12" customHeight="1" spans="1:18">
      <c r="A81" s="110"/>
      <c r="B81" s="36"/>
      <c r="C81" s="33">
        <v>22</v>
      </c>
      <c r="D81" s="32" t="s">
        <v>256</v>
      </c>
      <c r="E81" s="32">
        <v>6</v>
      </c>
      <c r="F81" s="33">
        <v>2</v>
      </c>
      <c r="G81" s="33">
        <f t="shared" si="70"/>
        <v>44</v>
      </c>
      <c r="H81" s="34">
        <v>1.38</v>
      </c>
      <c r="I81" s="66">
        <f t="shared" si="60"/>
        <v>13.47984</v>
      </c>
      <c r="J81" s="66" t="str">
        <f t="shared" si="61"/>
        <v> </v>
      </c>
      <c r="K81" s="66" t="str">
        <f t="shared" si="62"/>
        <v> </v>
      </c>
      <c r="L81" s="66" t="str">
        <f t="shared" si="63"/>
        <v> </v>
      </c>
      <c r="M81" s="66" t="str">
        <f t="shared" si="64"/>
        <v> </v>
      </c>
      <c r="N81" s="66" t="str">
        <f t="shared" si="65"/>
        <v> </v>
      </c>
      <c r="O81" s="66" t="str">
        <f t="shared" si="66"/>
        <v> </v>
      </c>
      <c r="P81" s="66" t="str">
        <f t="shared" si="67"/>
        <v> </v>
      </c>
      <c r="Q81" s="66" t="str">
        <f t="shared" si="68"/>
        <v> </v>
      </c>
      <c r="R81" s="132" t="str">
        <f t="shared" si="69"/>
        <v> </v>
      </c>
    </row>
    <row r="82" s="2" customFormat="1" ht="12" customHeight="1" spans="1:18">
      <c r="A82" s="110"/>
      <c r="B82" s="36"/>
      <c r="C82" s="33"/>
      <c r="D82" s="32"/>
      <c r="E82" s="32"/>
      <c r="F82" s="33"/>
      <c r="G82" s="33"/>
      <c r="H82" s="34"/>
      <c r="I82" s="66" t="str">
        <f t="shared" si="60"/>
        <v> </v>
      </c>
      <c r="J82" s="66" t="str">
        <f t="shared" si="61"/>
        <v> </v>
      </c>
      <c r="K82" s="66" t="str">
        <f t="shared" si="62"/>
        <v> </v>
      </c>
      <c r="L82" s="66" t="str">
        <f t="shared" si="63"/>
        <v> </v>
      </c>
      <c r="M82" s="66" t="str">
        <f t="shared" si="64"/>
        <v> </v>
      </c>
      <c r="N82" s="66" t="str">
        <f t="shared" si="65"/>
        <v> </v>
      </c>
      <c r="O82" s="66" t="str">
        <f t="shared" si="66"/>
        <v> </v>
      </c>
      <c r="P82" s="66" t="str">
        <f t="shared" si="67"/>
        <v> </v>
      </c>
      <c r="Q82" s="66" t="str">
        <f t="shared" si="68"/>
        <v> </v>
      </c>
      <c r="R82" s="132" t="str">
        <f t="shared" si="69"/>
        <v> </v>
      </c>
    </row>
    <row r="83" s="2" customFormat="1" ht="12" customHeight="1" spans="1:18">
      <c r="A83" s="111"/>
      <c r="B83" s="38"/>
      <c r="C83" s="38"/>
      <c r="D83" s="39"/>
      <c r="E83" s="39"/>
      <c r="F83" s="38"/>
      <c r="G83" s="38"/>
      <c r="H83" s="40"/>
      <c r="I83" s="66" t="str">
        <f t="shared" si="60"/>
        <v> </v>
      </c>
      <c r="J83" s="66" t="str">
        <f t="shared" si="61"/>
        <v> </v>
      </c>
      <c r="K83" s="66" t="str">
        <f t="shared" si="62"/>
        <v> </v>
      </c>
      <c r="L83" s="66" t="str">
        <f t="shared" si="63"/>
        <v> </v>
      </c>
      <c r="M83" s="66" t="str">
        <f t="shared" si="64"/>
        <v> </v>
      </c>
      <c r="N83" s="66" t="str">
        <f t="shared" si="65"/>
        <v> </v>
      </c>
      <c r="O83" s="66" t="str">
        <f t="shared" si="66"/>
        <v> </v>
      </c>
      <c r="P83" s="66" t="str">
        <f t="shared" si="67"/>
        <v> </v>
      </c>
      <c r="Q83" s="66" t="str">
        <f t="shared" si="68"/>
        <v> </v>
      </c>
      <c r="R83" s="132" t="str">
        <f t="shared" si="69"/>
        <v> </v>
      </c>
    </row>
    <row r="84" ht="17.25" customHeight="1" spans="1:21">
      <c r="A84" s="112" t="s">
        <v>259</v>
      </c>
      <c r="B84" s="42"/>
      <c r="C84" s="42"/>
      <c r="D84" s="42"/>
      <c r="E84" s="42"/>
      <c r="F84" s="42"/>
      <c r="G84" s="42"/>
      <c r="H84" s="43"/>
      <c r="I84" s="67">
        <v>0.222</v>
      </c>
      <c r="J84" s="69">
        <v>0.397</v>
      </c>
      <c r="K84" s="69">
        <v>0.617</v>
      </c>
      <c r="L84" s="69">
        <v>0.888</v>
      </c>
      <c r="M84" s="69">
        <v>1.208</v>
      </c>
      <c r="N84" s="69">
        <v>1.576</v>
      </c>
      <c r="O84" s="69">
        <v>2.47</v>
      </c>
      <c r="P84" s="69">
        <v>3.854</v>
      </c>
      <c r="Q84" s="69">
        <v>6.313</v>
      </c>
      <c r="R84" s="133">
        <v>9.866</v>
      </c>
      <c r="T84" s="83"/>
      <c r="U84" s="83"/>
    </row>
    <row r="85" ht="15" customHeight="1" spans="1:21">
      <c r="A85" s="113" t="s">
        <v>260</v>
      </c>
      <c r="B85" s="45"/>
      <c r="C85" s="45"/>
      <c r="D85" s="45"/>
      <c r="E85" s="45"/>
      <c r="F85" s="45"/>
      <c r="G85" s="45"/>
      <c r="H85" s="46"/>
      <c r="I85" s="70">
        <f>SUM(I77:I83)</f>
        <v>18.85224</v>
      </c>
      <c r="J85" s="70">
        <f t="shared" ref="J85:R85" si="71">SUM(J77:J83)</f>
        <v>0</v>
      </c>
      <c r="K85" s="70">
        <f t="shared" si="71"/>
        <v>0</v>
      </c>
      <c r="L85" s="70">
        <f t="shared" si="71"/>
        <v>0</v>
      </c>
      <c r="M85" s="70">
        <f t="shared" si="71"/>
        <v>0</v>
      </c>
      <c r="N85" s="70">
        <f t="shared" si="71"/>
        <v>77.44824</v>
      </c>
      <c r="O85" s="70">
        <f t="shared" si="71"/>
        <v>0</v>
      </c>
      <c r="P85" s="70">
        <f t="shared" si="71"/>
        <v>0</v>
      </c>
      <c r="Q85" s="70">
        <f t="shared" si="71"/>
        <v>0</v>
      </c>
      <c r="R85" s="134">
        <f t="shared" si="71"/>
        <v>0</v>
      </c>
      <c r="T85" s="83"/>
      <c r="U85" s="83"/>
    </row>
    <row r="86" s="3" customFormat="1" ht="16.5" customHeight="1" spans="1:21">
      <c r="A86" s="114" t="s">
        <v>261</v>
      </c>
      <c r="B86" s="48"/>
      <c r="C86" s="48"/>
      <c r="D86" s="48"/>
      <c r="E86" s="48"/>
      <c r="F86" s="48"/>
      <c r="G86" s="48"/>
      <c r="H86" s="49"/>
      <c r="I86" s="71"/>
      <c r="J86" s="72"/>
      <c r="K86" s="72"/>
      <c r="L86" s="72"/>
      <c r="M86" s="72"/>
      <c r="N86" s="72"/>
      <c r="O86" s="72"/>
      <c r="P86" s="71"/>
      <c r="Q86" s="71"/>
      <c r="R86" s="135">
        <f>(SUM(I85:R85))</f>
        <v>96.30048</v>
      </c>
      <c r="T86" s="86"/>
      <c r="U86" s="86"/>
    </row>
    <row r="87" ht="15.15" spans="1:18">
      <c r="A87" s="115"/>
      <c r="B87" s="51"/>
      <c r="C87" s="52"/>
      <c r="D87" s="53"/>
      <c r="E87" s="53"/>
      <c r="F87" s="53"/>
      <c r="G87" s="52"/>
      <c r="H87" s="54"/>
      <c r="I87" s="75"/>
      <c r="J87" s="75"/>
      <c r="K87" s="75"/>
      <c r="L87" s="75"/>
      <c r="M87" s="75"/>
      <c r="N87" s="75"/>
      <c r="O87" s="75"/>
      <c r="P87" s="75"/>
      <c r="Q87" s="123"/>
      <c r="R87" s="138"/>
    </row>
    <row r="88" s="1" customFormat="1" ht="21" customHeight="1" spans="1:18">
      <c r="A88" s="116" t="s">
        <v>235</v>
      </c>
      <c r="B88" s="17" t="s">
        <v>236</v>
      </c>
      <c r="C88" s="18" t="s">
        <v>237</v>
      </c>
      <c r="D88" s="17" t="s">
        <v>238</v>
      </c>
      <c r="E88" s="17"/>
      <c r="F88" s="17" t="s">
        <v>239</v>
      </c>
      <c r="G88" s="19" t="s">
        <v>240</v>
      </c>
      <c r="H88" s="20" t="s">
        <v>241</v>
      </c>
      <c r="I88" s="63" t="s">
        <v>242</v>
      </c>
      <c r="J88" s="64"/>
      <c r="K88" s="64"/>
      <c r="L88" s="64"/>
      <c r="M88" s="64"/>
      <c r="N88" s="64"/>
      <c r="O88" s="64"/>
      <c r="P88" s="64"/>
      <c r="Q88" s="64"/>
      <c r="R88" s="139"/>
    </row>
    <row r="89" s="1" customFormat="1" ht="15.75" customHeight="1" spans="1:18">
      <c r="A89" s="105"/>
      <c r="B89" s="22"/>
      <c r="C89" s="23"/>
      <c r="D89" s="22"/>
      <c r="E89" s="22"/>
      <c r="F89" s="22"/>
      <c r="G89" s="24"/>
      <c r="H89" s="25"/>
      <c r="I89" s="65" t="s">
        <v>243</v>
      </c>
      <c r="J89" s="65" t="s">
        <v>244</v>
      </c>
      <c r="K89" s="65" t="s">
        <v>245</v>
      </c>
      <c r="L89" s="65" t="s">
        <v>246</v>
      </c>
      <c r="M89" s="65" t="s">
        <v>247</v>
      </c>
      <c r="N89" s="65" t="s">
        <v>248</v>
      </c>
      <c r="O89" s="65" t="s">
        <v>249</v>
      </c>
      <c r="P89" s="65" t="s">
        <v>250</v>
      </c>
      <c r="Q89" s="65" t="s">
        <v>251</v>
      </c>
      <c r="R89" s="131" t="s">
        <v>252</v>
      </c>
    </row>
    <row r="90" s="2" customFormat="1" ht="14.25" customHeight="1" spans="1:18">
      <c r="A90" s="106" t="s">
        <v>253</v>
      </c>
      <c r="B90" s="107"/>
      <c r="C90" s="107"/>
      <c r="D90" s="107"/>
      <c r="E90" s="107"/>
      <c r="F90" s="107"/>
      <c r="G90" s="107"/>
      <c r="H90" s="108"/>
      <c r="I90" s="66" t="str">
        <f>IF(E90=6,(G90*H90*0.222)," ")</f>
        <v> </v>
      </c>
      <c r="J90" s="66" t="str">
        <f>IF(E90=8,(H90*G90*0.395)," ")</f>
        <v> </v>
      </c>
      <c r="K90" s="66" t="str">
        <f>IF(E90=10,(G90*H90*0.617)," ")</f>
        <v> </v>
      </c>
      <c r="L90" s="66" t="str">
        <f>IF(E90=12,(H90*G90*0.888)," ")</f>
        <v> </v>
      </c>
      <c r="M90" s="66" t="str">
        <f>IF(E90=14,(H90*G90*1.208)," ")</f>
        <v> </v>
      </c>
      <c r="N90" s="66" t="str">
        <f>IF(E90=16,(H90*G90*1.578)," ")</f>
        <v> </v>
      </c>
      <c r="O90" s="66" t="str">
        <f>IF(E90=20,(H90*G90*2.466)," ")</f>
        <v> </v>
      </c>
      <c r="P90" s="66" t="str">
        <f>IF(E90=25,(H90*G90*3.854)," ")</f>
        <v> </v>
      </c>
      <c r="Q90" s="66" t="str">
        <f>IF(E90=32,(H90*G90*6.314)," ")</f>
        <v> </v>
      </c>
      <c r="R90" s="132" t="str">
        <f>IF(E90=40,(H90*G90*9.866)," ")</f>
        <v> </v>
      </c>
    </row>
    <row r="91" s="2" customFormat="1" ht="12" customHeight="1" spans="1:18">
      <c r="A91" s="109" t="s">
        <v>304</v>
      </c>
      <c r="B91" s="30"/>
      <c r="C91" s="31"/>
      <c r="D91" s="32"/>
      <c r="E91" s="32"/>
      <c r="F91" s="33"/>
      <c r="G91" s="33"/>
      <c r="H91" s="34"/>
      <c r="I91" s="66" t="str">
        <f t="shared" ref="I91:I101" si="72">IF(E91=6,(G91*H91*0.222)," ")</f>
        <v> </v>
      </c>
      <c r="J91" s="66" t="str">
        <f t="shared" ref="J91:J101" si="73">IF(E91=8,(H91*G91*0.395)," ")</f>
        <v> </v>
      </c>
      <c r="K91" s="66" t="str">
        <f t="shared" ref="K91:K101" si="74">IF(E91=10,(G91*H91*0.617)," ")</f>
        <v> </v>
      </c>
      <c r="L91" s="66" t="str">
        <f t="shared" ref="L91:L101" si="75">IF(E91=12,(H91*G91*0.888)," ")</f>
        <v> </v>
      </c>
      <c r="M91" s="66" t="str">
        <f t="shared" ref="M91:M101" si="76">IF(E91=14,(H91*G91*1.208)," ")</f>
        <v> </v>
      </c>
      <c r="N91" s="66" t="str">
        <f t="shared" ref="N91:N101" si="77">IF(E91=16,(H91*G91*1.578)," ")</f>
        <v> </v>
      </c>
      <c r="O91" s="66" t="str">
        <f t="shared" ref="O91:O101" si="78">IF(E91=20,(H91*G91*2.466)," ")</f>
        <v> </v>
      </c>
      <c r="P91" s="66" t="str">
        <f t="shared" ref="P91:P101" si="79">IF(E91=25,(H91*G91*3.854)," ")</f>
        <v> </v>
      </c>
      <c r="Q91" s="66" t="str">
        <f t="shared" ref="Q91:Q101" si="80">IF(E91=32,(H91*G91*6.314)," ")</f>
        <v> </v>
      </c>
      <c r="R91" s="132" t="str">
        <f t="shared" ref="R91:R101" si="81">IF(E91=40,(H91*G91*9.866)," ")</f>
        <v> </v>
      </c>
    </row>
    <row r="92" s="2" customFormat="1" ht="12" customHeight="1" spans="1:18">
      <c r="A92" s="110"/>
      <c r="B92" s="36"/>
      <c r="C92" s="33">
        <v>3</v>
      </c>
      <c r="D92" s="32" t="s">
        <v>256</v>
      </c>
      <c r="E92" s="32">
        <v>16</v>
      </c>
      <c r="F92" s="33">
        <v>2</v>
      </c>
      <c r="G92" s="33">
        <f t="shared" ref="G92:G99" si="82">F92*C92</f>
        <v>6</v>
      </c>
      <c r="H92" s="34">
        <v>4.76</v>
      </c>
      <c r="I92" s="66" t="str">
        <f t="shared" si="72"/>
        <v> </v>
      </c>
      <c r="J92" s="66" t="str">
        <f t="shared" si="73"/>
        <v> </v>
      </c>
      <c r="K92" s="66" t="str">
        <f t="shared" si="74"/>
        <v> </v>
      </c>
      <c r="L92" s="66" t="str">
        <f t="shared" si="75"/>
        <v> </v>
      </c>
      <c r="M92" s="66" t="str">
        <f t="shared" si="76"/>
        <v> </v>
      </c>
      <c r="N92" s="66">
        <f t="shared" si="77"/>
        <v>45.06768</v>
      </c>
      <c r="O92" s="66" t="str">
        <f t="shared" si="78"/>
        <v> </v>
      </c>
      <c r="P92" s="66" t="str">
        <f t="shared" si="79"/>
        <v> </v>
      </c>
      <c r="Q92" s="66" t="str">
        <f t="shared" si="80"/>
        <v> </v>
      </c>
      <c r="R92" s="132" t="str">
        <f t="shared" si="81"/>
        <v> </v>
      </c>
    </row>
    <row r="93" s="2" customFormat="1" ht="12" customHeight="1" spans="1:18">
      <c r="A93" s="110"/>
      <c r="B93" s="33"/>
      <c r="C93" s="33">
        <v>3</v>
      </c>
      <c r="D93" s="32" t="s">
        <v>256</v>
      </c>
      <c r="E93" s="32">
        <v>16</v>
      </c>
      <c r="F93" s="33">
        <v>2</v>
      </c>
      <c r="G93" s="33">
        <f t="shared" si="82"/>
        <v>6</v>
      </c>
      <c r="H93" s="34">
        <v>7.9</v>
      </c>
      <c r="I93" s="66" t="str">
        <f t="shared" si="72"/>
        <v> </v>
      </c>
      <c r="J93" s="66" t="str">
        <f t="shared" si="73"/>
        <v> </v>
      </c>
      <c r="K93" s="66" t="str">
        <f t="shared" si="74"/>
        <v> </v>
      </c>
      <c r="L93" s="66" t="str">
        <f t="shared" si="75"/>
        <v> </v>
      </c>
      <c r="M93" s="66" t="str">
        <f t="shared" si="76"/>
        <v> </v>
      </c>
      <c r="N93" s="66">
        <f t="shared" si="77"/>
        <v>74.7972</v>
      </c>
      <c r="O93" s="66" t="str">
        <f t="shared" si="78"/>
        <v> </v>
      </c>
      <c r="P93" s="66" t="str">
        <f t="shared" si="79"/>
        <v> </v>
      </c>
      <c r="Q93" s="66" t="str">
        <f t="shared" si="80"/>
        <v> </v>
      </c>
      <c r="R93" s="132" t="str">
        <f t="shared" si="81"/>
        <v> </v>
      </c>
    </row>
    <row r="94" s="2" customFormat="1" ht="12" customHeight="1" spans="1:18">
      <c r="A94" s="110"/>
      <c r="B94" s="36"/>
      <c r="C94" s="33">
        <v>30</v>
      </c>
      <c r="D94" s="32" t="s">
        <v>256</v>
      </c>
      <c r="E94" s="32">
        <v>6</v>
      </c>
      <c r="F94" s="33">
        <v>2</v>
      </c>
      <c r="G94" s="33">
        <f t="shared" si="82"/>
        <v>60</v>
      </c>
      <c r="H94" s="34">
        <v>0.4</v>
      </c>
      <c r="I94" s="66">
        <f t="shared" si="72"/>
        <v>5.328</v>
      </c>
      <c r="J94" s="66" t="str">
        <f t="shared" si="73"/>
        <v> </v>
      </c>
      <c r="K94" s="66" t="str">
        <f t="shared" si="74"/>
        <v> </v>
      </c>
      <c r="L94" s="66" t="str">
        <f t="shared" si="75"/>
        <v> </v>
      </c>
      <c r="M94" s="66" t="str">
        <f t="shared" si="76"/>
        <v> </v>
      </c>
      <c r="N94" s="66" t="str">
        <f t="shared" si="77"/>
        <v> </v>
      </c>
      <c r="O94" s="66" t="str">
        <f t="shared" si="78"/>
        <v> </v>
      </c>
      <c r="P94" s="66" t="str">
        <f t="shared" si="79"/>
        <v> </v>
      </c>
      <c r="Q94" s="66" t="str">
        <f t="shared" si="80"/>
        <v> </v>
      </c>
      <c r="R94" s="132" t="str">
        <f t="shared" si="81"/>
        <v> </v>
      </c>
    </row>
    <row r="95" s="2" customFormat="1" ht="12" customHeight="1" spans="1:18">
      <c r="A95" s="110"/>
      <c r="B95" s="36"/>
      <c r="C95" s="33">
        <v>49</v>
      </c>
      <c r="D95" s="32" t="s">
        <v>256</v>
      </c>
      <c r="E95" s="32">
        <v>6</v>
      </c>
      <c r="F95" s="33">
        <v>2</v>
      </c>
      <c r="G95" s="33">
        <f t="shared" si="82"/>
        <v>98</v>
      </c>
      <c r="H95" s="34">
        <v>1.98</v>
      </c>
      <c r="I95" s="66">
        <f t="shared" si="72"/>
        <v>43.07688</v>
      </c>
      <c r="J95" s="66" t="str">
        <f t="shared" si="73"/>
        <v> </v>
      </c>
      <c r="K95" s="66" t="str">
        <f t="shared" si="74"/>
        <v> </v>
      </c>
      <c r="L95" s="66" t="str">
        <f t="shared" si="75"/>
        <v> </v>
      </c>
      <c r="M95" s="66" t="str">
        <f t="shared" si="76"/>
        <v> </v>
      </c>
      <c r="N95" s="66" t="str">
        <f t="shared" si="77"/>
        <v> </v>
      </c>
      <c r="O95" s="66" t="str">
        <f t="shared" si="78"/>
        <v> </v>
      </c>
      <c r="P95" s="66" t="str">
        <f t="shared" si="79"/>
        <v> </v>
      </c>
      <c r="Q95" s="66" t="str">
        <f t="shared" si="80"/>
        <v> </v>
      </c>
      <c r="R95" s="132" t="str">
        <f t="shared" si="81"/>
        <v> </v>
      </c>
    </row>
    <row r="96" s="2" customFormat="1" ht="12" customHeight="1" spans="1:18">
      <c r="A96" s="110"/>
      <c r="B96" s="33"/>
      <c r="C96" s="33">
        <v>3</v>
      </c>
      <c r="D96" s="32" t="s">
        <v>256</v>
      </c>
      <c r="E96" s="32">
        <v>20</v>
      </c>
      <c r="F96" s="33">
        <v>2</v>
      </c>
      <c r="G96" s="33">
        <f t="shared" si="82"/>
        <v>6</v>
      </c>
      <c r="H96" s="34">
        <v>7.49</v>
      </c>
      <c r="I96" s="66" t="str">
        <f t="shared" si="72"/>
        <v> </v>
      </c>
      <c r="J96" s="66" t="str">
        <f t="shared" si="73"/>
        <v> </v>
      </c>
      <c r="K96" s="66" t="str">
        <f t="shared" si="74"/>
        <v> </v>
      </c>
      <c r="L96" s="66" t="str">
        <f t="shared" si="75"/>
        <v> </v>
      </c>
      <c r="M96" s="66" t="str">
        <f t="shared" si="76"/>
        <v> </v>
      </c>
      <c r="N96" s="66" t="str">
        <f t="shared" si="77"/>
        <v> </v>
      </c>
      <c r="O96" s="66">
        <f t="shared" si="78"/>
        <v>110.82204</v>
      </c>
      <c r="P96" s="66" t="str">
        <f t="shared" si="79"/>
        <v> </v>
      </c>
      <c r="Q96" s="66" t="str">
        <f t="shared" si="80"/>
        <v> </v>
      </c>
      <c r="R96" s="132" t="str">
        <f t="shared" si="81"/>
        <v> </v>
      </c>
    </row>
    <row r="97" s="2" customFormat="1" ht="12" customHeight="1" spans="1:18">
      <c r="A97" s="110"/>
      <c r="B97" s="36"/>
      <c r="C97" s="33">
        <v>3</v>
      </c>
      <c r="D97" s="32" t="s">
        <v>256</v>
      </c>
      <c r="E97" s="32">
        <v>8</v>
      </c>
      <c r="F97" s="33">
        <v>2</v>
      </c>
      <c r="G97" s="33">
        <f t="shared" si="82"/>
        <v>6</v>
      </c>
      <c r="H97" s="34">
        <v>6.87</v>
      </c>
      <c r="I97" s="66" t="str">
        <f t="shared" si="72"/>
        <v> </v>
      </c>
      <c r="J97" s="66">
        <f t="shared" si="73"/>
        <v>16.2819</v>
      </c>
      <c r="K97" s="66" t="str">
        <f t="shared" si="74"/>
        <v> </v>
      </c>
      <c r="L97" s="66" t="str">
        <f t="shared" si="75"/>
        <v> </v>
      </c>
      <c r="M97" s="66" t="str">
        <f t="shared" si="76"/>
        <v> </v>
      </c>
      <c r="N97" s="66" t="str">
        <f t="shared" si="77"/>
        <v> </v>
      </c>
      <c r="O97" s="66" t="str">
        <f t="shared" si="78"/>
        <v> </v>
      </c>
      <c r="P97" s="66" t="str">
        <f t="shared" si="79"/>
        <v> </v>
      </c>
      <c r="Q97" s="66" t="str">
        <f t="shared" si="80"/>
        <v> </v>
      </c>
      <c r="R97" s="132" t="str">
        <f t="shared" si="81"/>
        <v> </v>
      </c>
    </row>
    <row r="98" s="2" customFormat="1" ht="12" customHeight="1" spans="1:18">
      <c r="A98" s="110"/>
      <c r="B98" s="36"/>
      <c r="C98" s="33">
        <v>49</v>
      </c>
      <c r="D98" s="32" t="s">
        <v>256</v>
      </c>
      <c r="E98" s="32">
        <v>6</v>
      </c>
      <c r="F98" s="33">
        <v>2</v>
      </c>
      <c r="G98" s="33">
        <f t="shared" si="82"/>
        <v>98</v>
      </c>
      <c r="H98" s="34">
        <v>0.85</v>
      </c>
      <c r="I98" s="66">
        <f t="shared" si="72"/>
        <v>18.4926</v>
      </c>
      <c r="J98" s="66" t="str">
        <f t="shared" si="73"/>
        <v> </v>
      </c>
      <c r="K98" s="66" t="str">
        <f t="shared" si="74"/>
        <v> </v>
      </c>
      <c r="L98" s="66" t="str">
        <f t="shared" si="75"/>
        <v> </v>
      </c>
      <c r="M98" s="66" t="str">
        <f t="shared" si="76"/>
        <v> </v>
      </c>
      <c r="N98" s="66" t="str">
        <f t="shared" si="77"/>
        <v> </v>
      </c>
      <c r="O98" s="66" t="str">
        <f t="shared" si="78"/>
        <v> </v>
      </c>
      <c r="P98" s="66" t="str">
        <f t="shared" si="79"/>
        <v> </v>
      </c>
      <c r="Q98" s="66" t="str">
        <f t="shared" si="80"/>
        <v> </v>
      </c>
      <c r="R98" s="132" t="str">
        <f t="shared" si="81"/>
        <v> </v>
      </c>
    </row>
    <row r="99" s="2" customFormat="1" ht="12" customHeight="1" spans="1:18">
      <c r="A99" s="110"/>
      <c r="B99" s="33"/>
      <c r="C99" s="33">
        <v>4</v>
      </c>
      <c r="D99" s="32" t="s">
        <v>256</v>
      </c>
      <c r="E99" s="32">
        <v>10</v>
      </c>
      <c r="F99" s="33">
        <v>2</v>
      </c>
      <c r="G99" s="33">
        <f t="shared" si="82"/>
        <v>8</v>
      </c>
      <c r="H99" s="34">
        <v>6.65</v>
      </c>
      <c r="I99" s="66" t="str">
        <f t="shared" si="72"/>
        <v> </v>
      </c>
      <c r="J99" s="66" t="str">
        <f t="shared" si="73"/>
        <v> </v>
      </c>
      <c r="K99" s="66">
        <f t="shared" si="74"/>
        <v>32.8244</v>
      </c>
      <c r="L99" s="66" t="str">
        <f t="shared" si="75"/>
        <v> </v>
      </c>
      <c r="M99" s="66" t="str">
        <f t="shared" si="76"/>
        <v> </v>
      </c>
      <c r="N99" s="66" t="str">
        <f t="shared" si="77"/>
        <v> </v>
      </c>
      <c r="O99" s="66" t="str">
        <f t="shared" si="78"/>
        <v> </v>
      </c>
      <c r="P99" s="66" t="str">
        <f t="shared" si="79"/>
        <v> </v>
      </c>
      <c r="Q99" s="66" t="str">
        <f t="shared" si="80"/>
        <v> </v>
      </c>
      <c r="R99" s="132" t="str">
        <f t="shared" si="81"/>
        <v> </v>
      </c>
    </row>
    <row r="100" s="2" customFormat="1" ht="12" customHeight="1" spans="1:18">
      <c r="A100" s="110"/>
      <c r="B100" s="36"/>
      <c r="C100" s="33"/>
      <c r="D100" s="32"/>
      <c r="E100" s="32"/>
      <c r="F100" s="33"/>
      <c r="G100" s="33"/>
      <c r="H100" s="34"/>
      <c r="I100" s="66" t="str">
        <f t="shared" si="72"/>
        <v> </v>
      </c>
      <c r="J100" s="66" t="str">
        <f t="shared" si="73"/>
        <v> </v>
      </c>
      <c r="K100" s="66" t="str">
        <f t="shared" si="74"/>
        <v> </v>
      </c>
      <c r="L100" s="66" t="str">
        <f t="shared" si="75"/>
        <v> </v>
      </c>
      <c r="M100" s="66" t="str">
        <f t="shared" si="76"/>
        <v> </v>
      </c>
      <c r="N100" s="66" t="str">
        <f t="shared" si="77"/>
        <v> </v>
      </c>
      <c r="O100" s="66" t="str">
        <f t="shared" si="78"/>
        <v> </v>
      </c>
      <c r="P100" s="66" t="str">
        <f t="shared" si="79"/>
        <v> </v>
      </c>
      <c r="Q100" s="66" t="str">
        <f t="shared" si="80"/>
        <v> </v>
      </c>
      <c r="R100" s="132" t="str">
        <f t="shared" si="81"/>
        <v> </v>
      </c>
    </row>
    <row r="101" s="2" customFormat="1" ht="12" customHeight="1" spans="1:18">
      <c r="A101" s="111"/>
      <c r="B101" s="38"/>
      <c r="C101" s="38"/>
      <c r="D101" s="39"/>
      <c r="E101" s="39"/>
      <c r="F101" s="38"/>
      <c r="G101" s="38"/>
      <c r="H101" s="40"/>
      <c r="I101" s="66" t="str">
        <f t="shared" si="72"/>
        <v> </v>
      </c>
      <c r="J101" s="66" t="str">
        <f t="shared" si="73"/>
        <v> </v>
      </c>
      <c r="K101" s="66" t="str">
        <f t="shared" si="74"/>
        <v> </v>
      </c>
      <c r="L101" s="66" t="str">
        <f t="shared" si="75"/>
        <v> </v>
      </c>
      <c r="M101" s="66" t="str">
        <f t="shared" si="76"/>
        <v> </v>
      </c>
      <c r="N101" s="66" t="str">
        <f t="shared" si="77"/>
        <v> </v>
      </c>
      <c r="O101" s="66" t="str">
        <f t="shared" si="78"/>
        <v> </v>
      </c>
      <c r="P101" s="66" t="str">
        <f t="shared" si="79"/>
        <v> </v>
      </c>
      <c r="Q101" s="66" t="str">
        <f t="shared" si="80"/>
        <v> </v>
      </c>
      <c r="R101" s="132" t="str">
        <f t="shared" si="81"/>
        <v> </v>
      </c>
    </row>
    <row r="102" ht="17.25" customHeight="1" spans="1:21">
      <c r="A102" s="112" t="s">
        <v>259</v>
      </c>
      <c r="B102" s="42"/>
      <c r="C102" s="42"/>
      <c r="D102" s="42"/>
      <c r="E102" s="42"/>
      <c r="F102" s="42"/>
      <c r="G102" s="42"/>
      <c r="H102" s="43"/>
      <c r="I102" s="67">
        <v>0.222</v>
      </c>
      <c r="J102" s="69">
        <v>0.397</v>
      </c>
      <c r="K102" s="69">
        <v>0.617</v>
      </c>
      <c r="L102" s="69">
        <v>0.888</v>
      </c>
      <c r="M102" s="69">
        <v>1.208</v>
      </c>
      <c r="N102" s="69">
        <v>1.576</v>
      </c>
      <c r="O102" s="69">
        <v>2.47</v>
      </c>
      <c r="P102" s="69">
        <v>3.854</v>
      </c>
      <c r="Q102" s="69">
        <v>6.313</v>
      </c>
      <c r="R102" s="133">
        <v>9.866</v>
      </c>
      <c r="T102" s="83"/>
      <c r="U102" s="83"/>
    </row>
    <row r="103" ht="15" customHeight="1" spans="1:21">
      <c r="A103" s="113" t="s">
        <v>260</v>
      </c>
      <c r="B103" s="45"/>
      <c r="C103" s="45"/>
      <c r="D103" s="45"/>
      <c r="E103" s="45"/>
      <c r="F103" s="45"/>
      <c r="G103" s="45"/>
      <c r="H103" s="46"/>
      <c r="I103" s="70">
        <f>SUM(I90:I101)</f>
        <v>66.89748</v>
      </c>
      <c r="J103" s="70">
        <f t="shared" ref="J103:R103" si="83">SUM(J90:J101)</f>
        <v>16.2819</v>
      </c>
      <c r="K103" s="70">
        <f t="shared" si="83"/>
        <v>32.8244</v>
      </c>
      <c r="L103" s="70">
        <f t="shared" si="83"/>
        <v>0</v>
      </c>
      <c r="M103" s="70">
        <f t="shared" si="83"/>
        <v>0</v>
      </c>
      <c r="N103" s="70">
        <f t="shared" si="83"/>
        <v>119.86488</v>
      </c>
      <c r="O103" s="70">
        <f t="shared" si="83"/>
        <v>110.82204</v>
      </c>
      <c r="P103" s="70">
        <f t="shared" si="83"/>
        <v>0</v>
      </c>
      <c r="Q103" s="70">
        <f t="shared" si="83"/>
        <v>0</v>
      </c>
      <c r="R103" s="134">
        <f t="shared" si="83"/>
        <v>0</v>
      </c>
      <c r="T103" s="83"/>
      <c r="U103" s="83"/>
    </row>
    <row r="104" s="3" customFormat="1" ht="16.5" customHeight="1" spans="1:21">
      <c r="A104" s="114" t="s">
        <v>261</v>
      </c>
      <c r="B104" s="48"/>
      <c r="C104" s="48"/>
      <c r="D104" s="48"/>
      <c r="E104" s="48"/>
      <c r="F104" s="48"/>
      <c r="G104" s="48"/>
      <c r="H104" s="49"/>
      <c r="I104" s="71"/>
      <c r="J104" s="72"/>
      <c r="K104" s="72"/>
      <c r="L104" s="72"/>
      <c r="M104" s="72"/>
      <c r="N104" s="72"/>
      <c r="O104" s="72"/>
      <c r="P104" s="71"/>
      <c r="Q104" s="71"/>
      <c r="R104" s="135">
        <f>(SUM(I103:R103))</f>
        <v>346.6907</v>
      </c>
      <c r="T104" s="86"/>
      <c r="U104" s="86"/>
    </row>
    <row r="105" ht="15.15" spans="1:18">
      <c r="A105" s="115"/>
      <c r="B105" s="51"/>
      <c r="C105" s="52"/>
      <c r="D105" s="53"/>
      <c r="E105" s="53"/>
      <c r="F105" s="53"/>
      <c r="G105" s="52"/>
      <c r="H105" s="54"/>
      <c r="I105" s="75"/>
      <c r="J105" s="75"/>
      <c r="K105" s="75"/>
      <c r="L105" s="75"/>
      <c r="M105" s="75"/>
      <c r="N105" s="75"/>
      <c r="O105" s="75"/>
      <c r="P105" s="75"/>
      <c r="Q105" s="123"/>
      <c r="R105" s="138"/>
    </row>
    <row r="106" s="1" customFormat="1" ht="21" customHeight="1" spans="1:18">
      <c r="A106" s="116" t="s">
        <v>235</v>
      </c>
      <c r="B106" s="17" t="s">
        <v>236</v>
      </c>
      <c r="C106" s="18" t="s">
        <v>237</v>
      </c>
      <c r="D106" s="17" t="s">
        <v>238</v>
      </c>
      <c r="E106" s="17"/>
      <c r="F106" s="17" t="s">
        <v>239</v>
      </c>
      <c r="G106" s="19" t="s">
        <v>240</v>
      </c>
      <c r="H106" s="20" t="s">
        <v>241</v>
      </c>
      <c r="I106" s="63" t="s">
        <v>242</v>
      </c>
      <c r="J106" s="64"/>
      <c r="K106" s="64"/>
      <c r="L106" s="64"/>
      <c r="M106" s="64"/>
      <c r="N106" s="64"/>
      <c r="O106" s="64"/>
      <c r="P106" s="64"/>
      <c r="Q106" s="64"/>
      <c r="R106" s="139"/>
    </row>
    <row r="107" s="1" customFormat="1" ht="15.75" customHeight="1" spans="1:18">
      <c r="A107" s="105"/>
      <c r="B107" s="22"/>
      <c r="C107" s="23"/>
      <c r="D107" s="22"/>
      <c r="E107" s="22"/>
      <c r="F107" s="22"/>
      <c r="G107" s="24"/>
      <c r="H107" s="25"/>
      <c r="I107" s="65" t="s">
        <v>243</v>
      </c>
      <c r="J107" s="65" t="s">
        <v>244</v>
      </c>
      <c r="K107" s="65" t="s">
        <v>245</v>
      </c>
      <c r="L107" s="65" t="s">
        <v>246</v>
      </c>
      <c r="M107" s="65" t="s">
        <v>247</v>
      </c>
      <c r="N107" s="65" t="s">
        <v>248</v>
      </c>
      <c r="O107" s="65" t="s">
        <v>249</v>
      </c>
      <c r="P107" s="65" t="s">
        <v>250</v>
      </c>
      <c r="Q107" s="65" t="s">
        <v>251</v>
      </c>
      <c r="R107" s="131" t="s">
        <v>252</v>
      </c>
    </row>
    <row r="108" s="2" customFormat="1" ht="14.25" customHeight="1" spans="1:18">
      <c r="A108" s="106" t="s">
        <v>253</v>
      </c>
      <c r="B108" s="107"/>
      <c r="C108" s="107"/>
      <c r="D108" s="107"/>
      <c r="E108" s="107"/>
      <c r="F108" s="107"/>
      <c r="G108" s="107"/>
      <c r="H108" s="108"/>
      <c r="I108" s="66" t="str">
        <f>IF(E108=6,(G108*H108*0.222)," ")</f>
        <v> </v>
      </c>
      <c r="J108" s="66" t="str">
        <f>IF(E108=8,(H108*G108*0.395)," ")</f>
        <v> </v>
      </c>
      <c r="K108" s="66" t="str">
        <f>IF(E108=10,(G108*H108*0.617)," ")</f>
        <v> </v>
      </c>
      <c r="L108" s="66" t="str">
        <f>IF(E108=12,(H108*G108*0.888)," ")</f>
        <v> </v>
      </c>
      <c r="M108" s="66" t="str">
        <f>IF(E108=14,(H108*G108*1.208)," ")</f>
        <v> </v>
      </c>
      <c r="N108" s="66" t="str">
        <f>IF(E108=16,(H108*G108*1.578)," ")</f>
        <v> </v>
      </c>
      <c r="O108" s="66" t="str">
        <f>IF(E108=20,(H108*G108*2.466)," ")</f>
        <v> </v>
      </c>
      <c r="P108" s="66" t="str">
        <f>IF(E108=25,(H108*G108*3.854)," ")</f>
        <v> </v>
      </c>
      <c r="Q108" s="66" t="str">
        <f>IF(E108=32,(H108*G108*6.314)," ")</f>
        <v> </v>
      </c>
      <c r="R108" s="132" t="str">
        <f>IF(E108=40,(H108*G108*9.866)," ")</f>
        <v> </v>
      </c>
    </row>
    <row r="109" s="2" customFormat="1" ht="12" customHeight="1" spans="1:18">
      <c r="A109" s="109" t="s">
        <v>305</v>
      </c>
      <c r="B109" s="30"/>
      <c r="C109" s="31"/>
      <c r="D109" s="32"/>
      <c r="E109" s="32"/>
      <c r="F109" s="33"/>
      <c r="G109" s="33"/>
      <c r="H109" s="34"/>
      <c r="I109" s="66" t="str">
        <f t="shared" ref="I109:I118" si="84">IF(E109=6,(G109*H109*0.222)," ")</f>
        <v> </v>
      </c>
      <c r="J109" s="66" t="str">
        <f t="shared" ref="J109:J118" si="85">IF(E109=8,(H109*G109*0.395)," ")</f>
        <v> </v>
      </c>
      <c r="K109" s="66" t="str">
        <f t="shared" ref="K109:K118" si="86">IF(E109=10,(G109*H109*0.617)," ")</f>
        <v> </v>
      </c>
      <c r="L109" s="66" t="str">
        <f t="shared" ref="L109:L118" si="87">IF(E109=12,(H109*G109*0.888)," ")</f>
        <v> </v>
      </c>
      <c r="M109" s="66" t="str">
        <f t="shared" ref="M109:M118" si="88">IF(E109=14,(H109*G109*1.208)," ")</f>
        <v> </v>
      </c>
      <c r="N109" s="66" t="str">
        <f t="shared" ref="N109:N118" si="89">IF(E109=16,(H109*G109*1.578)," ")</f>
        <v> </v>
      </c>
      <c r="O109" s="66" t="str">
        <f t="shared" ref="O109:O118" si="90">IF(E109=20,(H109*G109*2.466)," ")</f>
        <v> </v>
      </c>
      <c r="P109" s="66" t="str">
        <f t="shared" ref="P109:P118" si="91">IF(E109=25,(H109*G109*3.854)," ")</f>
        <v> </v>
      </c>
      <c r="Q109" s="66" t="str">
        <f t="shared" ref="Q109:Q118" si="92">IF(E109=32,(H109*G109*6.314)," ")</f>
        <v> </v>
      </c>
      <c r="R109" s="132" t="str">
        <f t="shared" ref="R109:R118" si="93">IF(E109=40,(H109*G109*9.866)," ")</f>
        <v> </v>
      </c>
    </row>
    <row r="110" s="2" customFormat="1" ht="12" customHeight="1" spans="1:18">
      <c r="A110" s="110"/>
      <c r="B110" s="36"/>
      <c r="C110" s="33">
        <v>43</v>
      </c>
      <c r="D110" s="32" t="s">
        <v>256</v>
      </c>
      <c r="E110" s="32">
        <v>6</v>
      </c>
      <c r="F110" s="33">
        <v>2</v>
      </c>
      <c r="G110" s="33">
        <f t="shared" ref="G110:G116" si="94">F110*C110</f>
        <v>86</v>
      </c>
      <c r="H110" s="34">
        <v>0.85</v>
      </c>
      <c r="I110" s="66">
        <f t="shared" si="84"/>
        <v>16.2282</v>
      </c>
      <c r="J110" s="66" t="str">
        <f t="shared" si="85"/>
        <v> </v>
      </c>
      <c r="K110" s="66" t="str">
        <f t="shared" si="86"/>
        <v> </v>
      </c>
      <c r="L110" s="66" t="str">
        <f t="shared" si="87"/>
        <v> </v>
      </c>
      <c r="M110" s="66" t="str">
        <f t="shared" si="88"/>
        <v> </v>
      </c>
      <c r="N110" s="66" t="str">
        <f t="shared" si="89"/>
        <v> </v>
      </c>
      <c r="O110" s="66" t="str">
        <f t="shared" si="90"/>
        <v> </v>
      </c>
      <c r="P110" s="66" t="str">
        <f t="shared" si="91"/>
        <v> </v>
      </c>
      <c r="Q110" s="66" t="str">
        <f t="shared" si="92"/>
        <v> </v>
      </c>
      <c r="R110" s="132" t="str">
        <f t="shared" si="93"/>
        <v> </v>
      </c>
    </row>
    <row r="111" s="2" customFormat="1" ht="12" customHeight="1" spans="1:18">
      <c r="A111" s="110"/>
      <c r="B111" s="33"/>
      <c r="C111" s="33">
        <v>42</v>
      </c>
      <c r="D111" s="32" t="s">
        <v>256</v>
      </c>
      <c r="E111" s="32">
        <v>6</v>
      </c>
      <c r="F111" s="33">
        <v>2</v>
      </c>
      <c r="G111" s="33">
        <f t="shared" si="94"/>
        <v>84</v>
      </c>
      <c r="H111" s="34">
        <v>1.97</v>
      </c>
      <c r="I111" s="66">
        <f t="shared" si="84"/>
        <v>36.73656</v>
      </c>
      <c r="J111" s="66" t="str">
        <f t="shared" si="85"/>
        <v> </v>
      </c>
      <c r="K111" s="66" t="str">
        <f t="shared" si="86"/>
        <v> </v>
      </c>
      <c r="L111" s="66" t="str">
        <f t="shared" si="87"/>
        <v> </v>
      </c>
      <c r="M111" s="66" t="str">
        <f t="shared" si="88"/>
        <v> </v>
      </c>
      <c r="N111" s="66" t="str">
        <f t="shared" si="89"/>
        <v> </v>
      </c>
      <c r="O111" s="66" t="str">
        <f t="shared" si="90"/>
        <v> </v>
      </c>
      <c r="P111" s="66" t="str">
        <f t="shared" si="91"/>
        <v> </v>
      </c>
      <c r="Q111" s="66" t="str">
        <f t="shared" si="92"/>
        <v> </v>
      </c>
      <c r="R111" s="132" t="str">
        <f t="shared" si="93"/>
        <v> </v>
      </c>
    </row>
    <row r="112" s="2" customFormat="1" ht="12" customHeight="1" spans="1:18">
      <c r="A112" s="110"/>
      <c r="B112" s="36"/>
      <c r="C112" s="33">
        <v>1</v>
      </c>
      <c r="D112" s="32" t="s">
        <v>256</v>
      </c>
      <c r="E112" s="32">
        <v>6</v>
      </c>
      <c r="F112" s="33">
        <v>2</v>
      </c>
      <c r="G112" s="33">
        <f t="shared" si="94"/>
        <v>2</v>
      </c>
      <c r="H112" s="34">
        <v>1.95</v>
      </c>
      <c r="I112" s="66">
        <f t="shared" si="84"/>
        <v>0.8658</v>
      </c>
      <c r="J112" s="66" t="str">
        <f t="shared" si="85"/>
        <v> </v>
      </c>
      <c r="K112" s="66" t="str">
        <f t="shared" si="86"/>
        <v> </v>
      </c>
      <c r="L112" s="66" t="str">
        <f t="shared" si="87"/>
        <v> </v>
      </c>
      <c r="M112" s="66" t="str">
        <f t="shared" si="88"/>
        <v> </v>
      </c>
      <c r="N112" s="66" t="str">
        <f t="shared" si="89"/>
        <v> </v>
      </c>
      <c r="O112" s="66" t="str">
        <f t="shared" si="90"/>
        <v> </v>
      </c>
      <c r="P112" s="66" t="str">
        <f t="shared" si="91"/>
        <v> </v>
      </c>
      <c r="Q112" s="66" t="str">
        <f t="shared" si="92"/>
        <v> </v>
      </c>
      <c r="R112" s="132" t="str">
        <f t="shared" si="93"/>
        <v> </v>
      </c>
    </row>
    <row r="113" s="2" customFormat="1" ht="12" customHeight="1" spans="1:18">
      <c r="A113" s="110"/>
      <c r="B113" s="36"/>
      <c r="C113" s="33">
        <v>3</v>
      </c>
      <c r="D113" s="32" t="s">
        <v>256</v>
      </c>
      <c r="E113" s="32">
        <v>20</v>
      </c>
      <c r="F113" s="33">
        <v>2</v>
      </c>
      <c r="G113" s="33">
        <f t="shared" si="94"/>
        <v>6</v>
      </c>
      <c r="H113" s="34">
        <v>4.39</v>
      </c>
      <c r="I113" s="66" t="str">
        <f t="shared" si="84"/>
        <v> </v>
      </c>
      <c r="J113" s="66" t="str">
        <f t="shared" si="85"/>
        <v> </v>
      </c>
      <c r="K113" s="66" t="str">
        <f t="shared" si="86"/>
        <v> </v>
      </c>
      <c r="L113" s="66" t="str">
        <f t="shared" si="87"/>
        <v> </v>
      </c>
      <c r="M113" s="66" t="str">
        <f t="shared" si="88"/>
        <v> </v>
      </c>
      <c r="N113" s="66" t="str">
        <f t="shared" si="89"/>
        <v> </v>
      </c>
      <c r="O113" s="66">
        <f t="shared" si="90"/>
        <v>64.95444</v>
      </c>
      <c r="P113" s="66" t="str">
        <f t="shared" si="91"/>
        <v> </v>
      </c>
      <c r="Q113" s="66" t="str">
        <f t="shared" si="92"/>
        <v> </v>
      </c>
      <c r="R113" s="132" t="str">
        <f t="shared" si="93"/>
        <v> </v>
      </c>
    </row>
    <row r="114" s="2" customFormat="1" ht="12" customHeight="1" spans="1:18">
      <c r="A114" s="110"/>
      <c r="B114" s="33"/>
      <c r="C114" s="33">
        <v>3</v>
      </c>
      <c r="D114" s="32" t="s">
        <v>256</v>
      </c>
      <c r="E114" s="32">
        <v>8</v>
      </c>
      <c r="F114" s="33">
        <v>2</v>
      </c>
      <c r="G114" s="33">
        <f t="shared" si="94"/>
        <v>6</v>
      </c>
      <c r="H114" s="34">
        <v>4.38</v>
      </c>
      <c r="I114" s="66" t="str">
        <f t="shared" si="84"/>
        <v> </v>
      </c>
      <c r="J114" s="66">
        <f t="shared" si="85"/>
        <v>10.3806</v>
      </c>
      <c r="K114" s="66" t="str">
        <f t="shared" si="86"/>
        <v> </v>
      </c>
      <c r="L114" s="66" t="str">
        <f t="shared" si="87"/>
        <v> </v>
      </c>
      <c r="M114" s="66" t="str">
        <f t="shared" si="88"/>
        <v> </v>
      </c>
      <c r="N114" s="66" t="str">
        <f t="shared" si="89"/>
        <v> </v>
      </c>
      <c r="O114" s="66" t="str">
        <f t="shared" si="90"/>
        <v> </v>
      </c>
      <c r="P114" s="66" t="str">
        <f t="shared" si="91"/>
        <v> </v>
      </c>
      <c r="Q114" s="66" t="str">
        <f t="shared" si="92"/>
        <v> </v>
      </c>
      <c r="R114" s="132" t="str">
        <f t="shared" si="93"/>
        <v> </v>
      </c>
    </row>
    <row r="115" s="2" customFormat="1" ht="12" customHeight="1" spans="1:18">
      <c r="A115" s="110"/>
      <c r="B115" s="36"/>
      <c r="C115" s="33">
        <v>4</v>
      </c>
      <c r="D115" s="32" t="s">
        <v>256</v>
      </c>
      <c r="E115" s="32">
        <v>10</v>
      </c>
      <c r="F115" s="33">
        <v>2</v>
      </c>
      <c r="G115" s="33">
        <f t="shared" si="94"/>
        <v>8</v>
      </c>
      <c r="H115" s="34">
        <v>4.38</v>
      </c>
      <c r="I115" s="66" t="str">
        <f t="shared" si="84"/>
        <v> </v>
      </c>
      <c r="J115" s="66" t="str">
        <f t="shared" si="85"/>
        <v> </v>
      </c>
      <c r="K115" s="66">
        <f t="shared" si="86"/>
        <v>21.61968</v>
      </c>
      <c r="L115" s="66" t="str">
        <f t="shared" si="87"/>
        <v> </v>
      </c>
      <c r="M115" s="66" t="str">
        <f t="shared" si="88"/>
        <v> </v>
      </c>
      <c r="N115" s="66" t="str">
        <f t="shared" si="89"/>
        <v> </v>
      </c>
      <c r="O115" s="66" t="str">
        <f t="shared" si="90"/>
        <v> </v>
      </c>
      <c r="P115" s="66" t="str">
        <f t="shared" si="91"/>
        <v> </v>
      </c>
      <c r="Q115" s="66" t="str">
        <f t="shared" si="92"/>
        <v> </v>
      </c>
      <c r="R115" s="132" t="str">
        <f t="shared" si="93"/>
        <v> </v>
      </c>
    </row>
    <row r="116" s="2" customFormat="1" ht="12" customHeight="1" spans="1:18">
      <c r="A116" s="110"/>
      <c r="B116" s="36"/>
      <c r="C116" s="33">
        <v>18</v>
      </c>
      <c r="D116" s="32" t="s">
        <v>256</v>
      </c>
      <c r="E116" s="32">
        <v>6</v>
      </c>
      <c r="F116" s="33">
        <v>2</v>
      </c>
      <c r="G116" s="33">
        <f t="shared" si="94"/>
        <v>36</v>
      </c>
      <c r="H116" s="34">
        <v>0.4</v>
      </c>
      <c r="I116" s="66">
        <f t="shared" si="84"/>
        <v>3.1968</v>
      </c>
      <c r="J116" s="66" t="str">
        <f t="shared" si="85"/>
        <v> </v>
      </c>
      <c r="K116" s="66" t="str">
        <f t="shared" si="86"/>
        <v> </v>
      </c>
      <c r="L116" s="66" t="str">
        <f t="shared" si="87"/>
        <v> </v>
      </c>
      <c r="M116" s="66" t="str">
        <f t="shared" si="88"/>
        <v> </v>
      </c>
      <c r="N116" s="66" t="str">
        <f t="shared" si="89"/>
        <v> </v>
      </c>
      <c r="O116" s="66" t="str">
        <f t="shared" si="90"/>
        <v> </v>
      </c>
      <c r="P116" s="66" t="str">
        <f t="shared" si="91"/>
        <v> </v>
      </c>
      <c r="Q116" s="66" t="str">
        <f t="shared" si="92"/>
        <v> </v>
      </c>
      <c r="R116" s="132" t="str">
        <f t="shared" si="93"/>
        <v> </v>
      </c>
    </row>
    <row r="117" s="2" customFormat="1" ht="12" customHeight="1" spans="1:18">
      <c r="A117" s="110"/>
      <c r="B117" s="36"/>
      <c r="C117" s="33"/>
      <c r="D117" s="32"/>
      <c r="E117" s="32"/>
      <c r="F117" s="33"/>
      <c r="G117" s="33"/>
      <c r="H117" s="34"/>
      <c r="I117" s="66" t="str">
        <f t="shared" si="84"/>
        <v> </v>
      </c>
      <c r="J117" s="66" t="str">
        <f t="shared" si="85"/>
        <v> </v>
      </c>
      <c r="K117" s="66" t="str">
        <f t="shared" si="86"/>
        <v> </v>
      </c>
      <c r="L117" s="66" t="str">
        <f t="shared" si="87"/>
        <v> </v>
      </c>
      <c r="M117" s="66" t="str">
        <f t="shared" si="88"/>
        <v> </v>
      </c>
      <c r="N117" s="66" t="str">
        <f t="shared" si="89"/>
        <v> </v>
      </c>
      <c r="O117" s="66" t="str">
        <f t="shared" si="90"/>
        <v> </v>
      </c>
      <c r="P117" s="66" t="str">
        <f t="shared" si="91"/>
        <v> </v>
      </c>
      <c r="Q117" s="66" t="str">
        <f t="shared" si="92"/>
        <v> </v>
      </c>
      <c r="R117" s="132" t="str">
        <f t="shared" si="93"/>
        <v> </v>
      </c>
    </row>
    <row r="118" s="2" customFormat="1" ht="12" customHeight="1" spans="1:18">
      <c r="A118" s="111"/>
      <c r="B118" s="38"/>
      <c r="C118" s="38"/>
      <c r="D118" s="39"/>
      <c r="E118" s="39"/>
      <c r="F118" s="38"/>
      <c r="G118" s="38"/>
      <c r="H118" s="40"/>
      <c r="I118" s="66" t="str">
        <f t="shared" si="84"/>
        <v> </v>
      </c>
      <c r="J118" s="66" t="str">
        <f t="shared" si="85"/>
        <v> </v>
      </c>
      <c r="K118" s="66" t="str">
        <f t="shared" si="86"/>
        <v> </v>
      </c>
      <c r="L118" s="66" t="str">
        <f t="shared" si="87"/>
        <v> </v>
      </c>
      <c r="M118" s="66" t="str">
        <f t="shared" si="88"/>
        <v> </v>
      </c>
      <c r="N118" s="66" t="str">
        <f t="shared" si="89"/>
        <v> </v>
      </c>
      <c r="O118" s="66" t="str">
        <f t="shared" si="90"/>
        <v> </v>
      </c>
      <c r="P118" s="66" t="str">
        <f t="shared" si="91"/>
        <v> </v>
      </c>
      <c r="Q118" s="66" t="str">
        <f t="shared" si="92"/>
        <v> </v>
      </c>
      <c r="R118" s="132" t="str">
        <f t="shared" si="93"/>
        <v> </v>
      </c>
    </row>
    <row r="119" ht="17.25" customHeight="1" spans="1:21">
      <c r="A119" s="112" t="s">
        <v>259</v>
      </c>
      <c r="B119" s="42"/>
      <c r="C119" s="42"/>
      <c r="D119" s="42"/>
      <c r="E119" s="42"/>
      <c r="F119" s="42"/>
      <c r="G119" s="42"/>
      <c r="H119" s="43"/>
      <c r="I119" s="67">
        <v>0.222</v>
      </c>
      <c r="J119" s="69">
        <v>0.397</v>
      </c>
      <c r="K119" s="69">
        <v>0.617</v>
      </c>
      <c r="L119" s="69">
        <v>0.888</v>
      </c>
      <c r="M119" s="69">
        <v>1.208</v>
      </c>
      <c r="N119" s="69">
        <v>1.576</v>
      </c>
      <c r="O119" s="69">
        <v>2.47</v>
      </c>
      <c r="P119" s="69">
        <v>3.854</v>
      </c>
      <c r="Q119" s="69">
        <v>6.313</v>
      </c>
      <c r="R119" s="133">
        <v>9.866</v>
      </c>
      <c r="T119" s="83"/>
      <c r="U119" s="83"/>
    </row>
    <row r="120" ht="15" customHeight="1" spans="1:21">
      <c r="A120" s="113" t="s">
        <v>260</v>
      </c>
      <c r="B120" s="45"/>
      <c r="C120" s="45"/>
      <c r="D120" s="45"/>
      <c r="E120" s="45"/>
      <c r="F120" s="45"/>
      <c r="G120" s="45"/>
      <c r="H120" s="46"/>
      <c r="I120" s="70">
        <f>SUM(I108:I118)</f>
        <v>57.02736</v>
      </c>
      <c r="J120" s="70">
        <f t="shared" ref="J120:R120" si="95">SUM(J108:J118)</f>
        <v>10.3806</v>
      </c>
      <c r="K120" s="70">
        <f t="shared" si="95"/>
        <v>21.61968</v>
      </c>
      <c r="L120" s="70">
        <f t="shared" si="95"/>
        <v>0</v>
      </c>
      <c r="M120" s="70">
        <f t="shared" si="95"/>
        <v>0</v>
      </c>
      <c r="N120" s="70">
        <f t="shared" si="95"/>
        <v>0</v>
      </c>
      <c r="O120" s="70">
        <f t="shared" si="95"/>
        <v>64.95444</v>
      </c>
      <c r="P120" s="70">
        <f t="shared" si="95"/>
        <v>0</v>
      </c>
      <c r="Q120" s="70">
        <f t="shared" si="95"/>
        <v>0</v>
      </c>
      <c r="R120" s="134">
        <f t="shared" si="95"/>
        <v>0</v>
      </c>
      <c r="T120" s="83"/>
      <c r="U120" s="83"/>
    </row>
    <row r="121" s="3" customFormat="1" ht="16.5" customHeight="1" spans="1:21">
      <c r="A121" s="114" t="s">
        <v>261</v>
      </c>
      <c r="B121" s="48"/>
      <c r="C121" s="48"/>
      <c r="D121" s="48"/>
      <c r="E121" s="48"/>
      <c r="F121" s="48"/>
      <c r="G121" s="48"/>
      <c r="H121" s="49"/>
      <c r="I121" s="71"/>
      <c r="J121" s="72"/>
      <c r="K121" s="72"/>
      <c r="L121" s="72"/>
      <c r="M121" s="72"/>
      <c r="N121" s="72"/>
      <c r="O121" s="72"/>
      <c r="P121" s="71"/>
      <c r="Q121" s="71"/>
      <c r="R121" s="135">
        <f>(SUM(I120:R120))</f>
        <v>153.98208</v>
      </c>
      <c r="T121" s="86"/>
      <c r="U121" s="86"/>
    </row>
    <row r="122" ht="15.15" spans="1:18">
      <c r="A122" s="115"/>
      <c r="B122" s="51"/>
      <c r="C122" s="52"/>
      <c r="D122" s="53"/>
      <c r="E122" s="53"/>
      <c r="F122" s="53"/>
      <c r="G122" s="52"/>
      <c r="H122" s="54"/>
      <c r="I122" s="75"/>
      <c r="J122" s="75"/>
      <c r="K122" s="75"/>
      <c r="L122" s="75"/>
      <c r="M122" s="75"/>
      <c r="N122" s="75"/>
      <c r="O122" s="75"/>
      <c r="P122" s="75"/>
      <c r="Q122" s="123"/>
      <c r="R122" s="138"/>
    </row>
    <row r="123" s="1" customFormat="1" ht="21" customHeight="1" spans="1:18">
      <c r="A123" s="116" t="s">
        <v>235</v>
      </c>
      <c r="B123" s="17" t="s">
        <v>236</v>
      </c>
      <c r="C123" s="18" t="s">
        <v>237</v>
      </c>
      <c r="D123" s="17" t="s">
        <v>238</v>
      </c>
      <c r="E123" s="17"/>
      <c r="F123" s="17" t="s">
        <v>239</v>
      </c>
      <c r="G123" s="19" t="s">
        <v>240</v>
      </c>
      <c r="H123" s="20" t="s">
        <v>241</v>
      </c>
      <c r="I123" s="63" t="s">
        <v>242</v>
      </c>
      <c r="J123" s="64"/>
      <c r="K123" s="64"/>
      <c r="L123" s="64"/>
      <c r="M123" s="64"/>
      <c r="N123" s="64"/>
      <c r="O123" s="64"/>
      <c r="P123" s="64"/>
      <c r="Q123" s="64"/>
      <c r="R123" s="139"/>
    </row>
    <row r="124" s="1" customFormat="1" ht="15.75" customHeight="1" spans="1:18">
      <c r="A124" s="105"/>
      <c r="B124" s="22"/>
      <c r="C124" s="23"/>
      <c r="D124" s="22"/>
      <c r="E124" s="22"/>
      <c r="F124" s="22"/>
      <c r="G124" s="24"/>
      <c r="H124" s="25"/>
      <c r="I124" s="65" t="s">
        <v>243</v>
      </c>
      <c r="J124" s="65" t="s">
        <v>244</v>
      </c>
      <c r="K124" s="65" t="s">
        <v>245</v>
      </c>
      <c r="L124" s="65" t="s">
        <v>246</v>
      </c>
      <c r="M124" s="65" t="s">
        <v>247</v>
      </c>
      <c r="N124" s="65" t="s">
        <v>248</v>
      </c>
      <c r="O124" s="65" t="s">
        <v>249</v>
      </c>
      <c r="P124" s="65" t="s">
        <v>250</v>
      </c>
      <c r="Q124" s="65" t="s">
        <v>251</v>
      </c>
      <c r="R124" s="131" t="s">
        <v>252</v>
      </c>
    </row>
    <row r="125" s="2" customFormat="1" ht="14.25" customHeight="1" spans="1:18">
      <c r="A125" s="106" t="s">
        <v>253</v>
      </c>
      <c r="B125" s="107"/>
      <c r="C125" s="107"/>
      <c r="D125" s="107"/>
      <c r="E125" s="107"/>
      <c r="F125" s="107"/>
      <c r="G125" s="107"/>
      <c r="H125" s="108"/>
      <c r="I125" s="66" t="str">
        <f>IF(E125=6,(G125*H125*0.222)," ")</f>
        <v> </v>
      </c>
      <c r="J125" s="66" t="str">
        <f>IF(E125=8,(H125*G125*0.395)," ")</f>
        <v> </v>
      </c>
      <c r="K125" s="66" t="str">
        <f>IF(E125=10,(G125*H125*0.617)," ")</f>
        <v> </v>
      </c>
      <c r="L125" s="66" t="str">
        <f>IF(E125=12,(H125*G125*0.888)," ")</f>
        <v> </v>
      </c>
      <c r="M125" s="66" t="str">
        <f>IF(E125=14,(H125*G125*1.208)," ")</f>
        <v> </v>
      </c>
      <c r="N125" s="66" t="str">
        <f>IF(E125=16,(H125*G125*1.578)," ")</f>
        <v> </v>
      </c>
      <c r="O125" s="66" t="str">
        <f>IF(E125=20,(H125*G125*2.466)," ")</f>
        <v> </v>
      </c>
      <c r="P125" s="66" t="str">
        <f>IF(E125=25,(H125*G125*3.854)," ")</f>
        <v> </v>
      </c>
      <c r="Q125" s="66" t="str">
        <f>IF(E125=32,(H125*G125*6.314)," ")</f>
        <v> </v>
      </c>
      <c r="R125" s="132" t="str">
        <f>IF(E125=40,(H125*G125*9.866)," ")</f>
        <v> </v>
      </c>
    </row>
    <row r="126" s="2" customFormat="1" ht="12" customHeight="1" spans="1:18">
      <c r="A126" s="109" t="s">
        <v>306</v>
      </c>
      <c r="B126" s="30"/>
      <c r="C126" s="31"/>
      <c r="D126" s="32"/>
      <c r="E126" s="32"/>
      <c r="F126" s="33"/>
      <c r="G126" s="33"/>
      <c r="H126" s="34"/>
      <c r="I126" s="66" t="str">
        <f t="shared" ref="I126:I135" si="96">IF(E126=6,(G126*H126*0.222)," ")</f>
        <v> </v>
      </c>
      <c r="J126" s="66" t="str">
        <f t="shared" ref="J126:J135" si="97">IF(E126=8,(H126*G126*0.395)," ")</f>
        <v> </v>
      </c>
      <c r="K126" s="66" t="str">
        <f t="shared" ref="K126:K135" si="98">IF(E126=10,(G126*H126*0.617)," ")</f>
        <v> </v>
      </c>
      <c r="L126" s="66" t="str">
        <f t="shared" ref="L126:L135" si="99">IF(E126=12,(H126*G126*0.888)," ")</f>
        <v> </v>
      </c>
      <c r="M126" s="66" t="str">
        <f t="shared" ref="M126:M135" si="100">IF(E126=14,(H126*G126*1.208)," ")</f>
        <v> </v>
      </c>
      <c r="N126" s="66" t="str">
        <f t="shared" ref="N126:N135" si="101">IF(E126=16,(H126*G126*1.578)," ")</f>
        <v> </v>
      </c>
      <c r="O126" s="66" t="str">
        <f t="shared" ref="O126:O135" si="102">IF(E126=20,(H126*G126*2.466)," ")</f>
        <v> </v>
      </c>
      <c r="P126" s="66" t="str">
        <f t="shared" ref="P126:P135" si="103">IF(E126=25,(H126*G126*3.854)," ")</f>
        <v> </v>
      </c>
      <c r="Q126" s="66" t="str">
        <f t="shared" ref="Q126:Q135" si="104">IF(E126=32,(H126*G126*6.314)," ")</f>
        <v> </v>
      </c>
      <c r="R126" s="132" t="str">
        <f t="shared" ref="R126:R135" si="105">IF(E126=40,(H126*G126*9.866)," ")</f>
        <v> </v>
      </c>
    </row>
    <row r="127" s="2" customFormat="1" ht="12" customHeight="1" spans="1:18">
      <c r="A127" s="110"/>
      <c r="B127" s="36"/>
      <c r="C127" s="33">
        <v>18</v>
      </c>
      <c r="D127" s="32" t="s">
        <v>256</v>
      </c>
      <c r="E127" s="32">
        <v>6</v>
      </c>
      <c r="F127" s="33">
        <v>2</v>
      </c>
      <c r="G127" s="33">
        <f t="shared" ref="G127:G133" si="106">F127*C127</f>
        <v>36</v>
      </c>
      <c r="H127" s="34">
        <v>0.84</v>
      </c>
      <c r="I127" s="66">
        <f t="shared" si="96"/>
        <v>6.71328</v>
      </c>
      <c r="J127" s="66" t="str">
        <f t="shared" si="97"/>
        <v> </v>
      </c>
      <c r="K127" s="66" t="str">
        <f t="shared" si="98"/>
        <v> </v>
      </c>
      <c r="L127" s="66" t="str">
        <f t="shared" si="99"/>
        <v> </v>
      </c>
      <c r="M127" s="66" t="str">
        <f t="shared" si="100"/>
        <v> </v>
      </c>
      <c r="N127" s="66" t="str">
        <f t="shared" si="101"/>
        <v> </v>
      </c>
      <c r="O127" s="66" t="str">
        <f t="shared" si="102"/>
        <v> </v>
      </c>
      <c r="P127" s="66" t="str">
        <f t="shared" si="103"/>
        <v> </v>
      </c>
      <c r="Q127" s="66" t="str">
        <f t="shared" si="104"/>
        <v> </v>
      </c>
      <c r="R127" s="132" t="str">
        <f t="shared" si="105"/>
        <v> </v>
      </c>
    </row>
    <row r="128" s="2" customFormat="1" ht="12" customHeight="1" spans="1:18">
      <c r="A128" s="110"/>
      <c r="B128" s="33"/>
      <c r="C128" s="33">
        <v>3</v>
      </c>
      <c r="D128" s="32" t="s">
        <v>256</v>
      </c>
      <c r="E128" s="32">
        <v>16</v>
      </c>
      <c r="F128" s="33">
        <v>2</v>
      </c>
      <c r="G128" s="33">
        <f t="shared" si="106"/>
        <v>6</v>
      </c>
      <c r="H128" s="34">
        <v>3.24</v>
      </c>
      <c r="I128" s="66" t="str">
        <f t="shared" si="96"/>
        <v> </v>
      </c>
      <c r="J128" s="66" t="str">
        <f t="shared" si="97"/>
        <v> </v>
      </c>
      <c r="K128" s="66" t="str">
        <f t="shared" si="98"/>
        <v> </v>
      </c>
      <c r="L128" s="66" t="str">
        <f t="shared" si="99"/>
        <v> </v>
      </c>
      <c r="M128" s="66" t="str">
        <f t="shared" si="100"/>
        <v> </v>
      </c>
      <c r="N128" s="66">
        <f t="shared" si="101"/>
        <v>30.67632</v>
      </c>
      <c r="O128" s="66" t="str">
        <f t="shared" si="102"/>
        <v> </v>
      </c>
      <c r="P128" s="66" t="str">
        <f t="shared" si="103"/>
        <v> </v>
      </c>
      <c r="Q128" s="66" t="str">
        <f t="shared" si="104"/>
        <v> </v>
      </c>
      <c r="R128" s="132" t="str">
        <f t="shared" si="105"/>
        <v> </v>
      </c>
    </row>
    <row r="129" s="2" customFormat="1" ht="12" customHeight="1" spans="1:18">
      <c r="A129" s="110"/>
      <c r="B129" s="36"/>
      <c r="C129" s="33">
        <v>16</v>
      </c>
      <c r="D129" s="32" t="s">
        <v>256</v>
      </c>
      <c r="E129" s="32">
        <v>6</v>
      </c>
      <c r="F129" s="33">
        <v>2</v>
      </c>
      <c r="G129" s="33">
        <f t="shared" si="106"/>
        <v>32</v>
      </c>
      <c r="H129" s="34">
        <v>1.95</v>
      </c>
      <c r="I129" s="66">
        <f t="shared" si="96"/>
        <v>13.8528</v>
      </c>
      <c r="J129" s="66" t="str">
        <f t="shared" si="97"/>
        <v> </v>
      </c>
      <c r="K129" s="66" t="str">
        <f t="shared" si="98"/>
        <v> </v>
      </c>
      <c r="L129" s="66" t="str">
        <f t="shared" si="99"/>
        <v> </v>
      </c>
      <c r="M129" s="66" t="str">
        <f t="shared" si="100"/>
        <v> </v>
      </c>
      <c r="N129" s="66" t="str">
        <f t="shared" si="101"/>
        <v> </v>
      </c>
      <c r="O129" s="66" t="str">
        <f t="shared" si="102"/>
        <v> </v>
      </c>
      <c r="P129" s="66" t="str">
        <f t="shared" si="103"/>
        <v> </v>
      </c>
      <c r="Q129" s="66" t="str">
        <f t="shared" si="104"/>
        <v> </v>
      </c>
      <c r="R129" s="132" t="str">
        <f t="shared" si="105"/>
        <v> </v>
      </c>
    </row>
    <row r="130" s="2" customFormat="1" ht="12" customHeight="1" spans="1:18">
      <c r="A130" s="110"/>
      <c r="B130" s="36"/>
      <c r="C130" s="33">
        <v>6</v>
      </c>
      <c r="D130" s="32" t="s">
        <v>256</v>
      </c>
      <c r="E130" s="32">
        <v>20</v>
      </c>
      <c r="F130" s="33">
        <v>2</v>
      </c>
      <c r="G130" s="33">
        <f t="shared" si="106"/>
        <v>12</v>
      </c>
      <c r="H130" s="34">
        <v>6.69</v>
      </c>
      <c r="I130" s="66" t="str">
        <f t="shared" si="96"/>
        <v> </v>
      </c>
      <c r="J130" s="66" t="str">
        <f t="shared" si="97"/>
        <v> </v>
      </c>
      <c r="K130" s="66" t="str">
        <f t="shared" si="98"/>
        <v> </v>
      </c>
      <c r="L130" s="66" t="str">
        <f t="shared" si="99"/>
        <v> </v>
      </c>
      <c r="M130" s="66" t="str">
        <f t="shared" si="100"/>
        <v> </v>
      </c>
      <c r="N130" s="66" t="str">
        <f t="shared" si="101"/>
        <v> </v>
      </c>
      <c r="O130" s="66">
        <f t="shared" si="102"/>
        <v>197.97048</v>
      </c>
      <c r="P130" s="66" t="str">
        <f t="shared" si="103"/>
        <v> </v>
      </c>
      <c r="Q130" s="66" t="str">
        <f t="shared" si="104"/>
        <v> </v>
      </c>
      <c r="R130" s="132" t="str">
        <f t="shared" si="105"/>
        <v> </v>
      </c>
    </row>
    <row r="131" s="2" customFormat="1" ht="12" customHeight="1" spans="1:18">
      <c r="A131" s="110"/>
      <c r="B131" s="33"/>
      <c r="C131" s="33">
        <v>2</v>
      </c>
      <c r="D131" s="32" t="s">
        <v>256</v>
      </c>
      <c r="E131" s="32">
        <v>6</v>
      </c>
      <c r="F131" s="33">
        <v>2</v>
      </c>
      <c r="G131" s="33">
        <f t="shared" si="106"/>
        <v>4</v>
      </c>
      <c r="H131" s="34">
        <v>1.94</v>
      </c>
      <c r="I131" s="66">
        <f t="shared" si="96"/>
        <v>1.72272</v>
      </c>
      <c r="J131" s="66" t="str">
        <f t="shared" si="97"/>
        <v> </v>
      </c>
      <c r="K131" s="66" t="str">
        <f t="shared" si="98"/>
        <v> </v>
      </c>
      <c r="L131" s="66" t="str">
        <f t="shared" si="99"/>
        <v> </v>
      </c>
      <c r="M131" s="66" t="str">
        <f t="shared" si="100"/>
        <v> </v>
      </c>
      <c r="N131" s="66" t="str">
        <f t="shared" si="101"/>
        <v> </v>
      </c>
      <c r="O131" s="66" t="str">
        <f t="shared" si="102"/>
        <v> </v>
      </c>
      <c r="P131" s="66" t="str">
        <f t="shared" si="103"/>
        <v> </v>
      </c>
      <c r="Q131" s="66" t="str">
        <f t="shared" si="104"/>
        <v> </v>
      </c>
      <c r="R131" s="132" t="str">
        <f t="shared" si="105"/>
        <v> </v>
      </c>
    </row>
    <row r="132" s="2" customFormat="1" ht="12" customHeight="1" spans="1:18">
      <c r="A132" s="110"/>
      <c r="B132" s="36"/>
      <c r="C132" s="33">
        <v>4</v>
      </c>
      <c r="D132" s="32" t="s">
        <v>256</v>
      </c>
      <c r="E132" s="32">
        <v>10</v>
      </c>
      <c r="F132" s="33">
        <v>2</v>
      </c>
      <c r="G132" s="33">
        <f t="shared" si="106"/>
        <v>8</v>
      </c>
      <c r="H132" s="34">
        <v>3.25</v>
      </c>
      <c r="I132" s="66" t="str">
        <f t="shared" si="96"/>
        <v> </v>
      </c>
      <c r="J132" s="66" t="str">
        <f t="shared" si="97"/>
        <v> </v>
      </c>
      <c r="K132" s="66">
        <f t="shared" si="98"/>
        <v>16.042</v>
      </c>
      <c r="L132" s="66" t="str">
        <f t="shared" si="99"/>
        <v> </v>
      </c>
      <c r="M132" s="66" t="str">
        <f t="shared" si="100"/>
        <v> </v>
      </c>
      <c r="N132" s="66" t="str">
        <f t="shared" si="101"/>
        <v> </v>
      </c>
      <c r="O132" s="66" t="str">
        <f t="shared" si="102"/>
        <v> </v>
      </c>
      <c r="P132" s="66" t="str">
        <f t="shared" si="103"/>
        <v> </v>
      </c>
      <c r="Q132" s="66" t="str">
        <f t="shared" si="104"/>
        <v> </v>
      </c>
      <c r="R132" s="132" t="str">
        <f t="shared" si="105"/>
        <v> </v>
      </c>
    </row>
    <row r="133" s="2" customFormat="1" ht="12" customHeight="1" spans="1:18">
      <c r="A133" s="110"/>
      <c r="B133" s="36"/>
      <c r="C133" s="33">
        <v>14</v>
      </c>
      <c r="D133" s="32" t="s">
        <v>256</v>
      </c>
      <c r="E133" s="32">
        <v>6</v>
      </c>
      <c r="F133" s="33">
        <v>2</v>
      </c>
      <c r="G133" s="33">
        <f t="shared" si="106"/>
        <v>28</v>
      </c>
      <c r="H133" s="34">
        <v>0.4</v>
      </c>
      <c r="I133" s="66">
        <f t="shared" si="96"/>
        <v>2.4864</v>
      </c>
      <c r="J133" s="66" t="str">
        <f t="shared" si="97"/>
        <v> </v>
      </c>
      <c r="K133" s="66" t="str">
        <f t="shared" si="98"/>
        <v> </v>
      </c>
      <c r="L133" s="66" t="str">
        <f t="shared" si="99"/>
        <v> </v>
      </c>
      <c r="M133" s="66" t="str">
        <f t="shared" si="100"/>
        <v> </v>
      </c>
      <c r="N133" s="66" t="str">
        <f t="shared" si="101"/>
        <v> </v>
      </c>
      <c r="O133" s="66" t="str">
        <f t="shared" si="102"/>
        <v> </v>
      </c>
      <c r="P133" s="66" t="str">
        <f t="shared" si="103"/>
        <v> </v>
      </c>
      <c r="Q133" s="66" t="str">
        <f t="shared" si="104"/>
        <v> </v>
      </c>
      <c r="R133" s="132" t="str">
        <f t="shared" si="105"/>
        <v> </v>
      </c>
    </row>
    <row r="134" s="2" customFormat="1" ht="12" customHeight="1" spans="1:18">
      <c r="A134" s="110"/>
      <c r="B134" s="36"/>
      <c r="C134" s="33"/>
      <c r="D134" s="32"/>
      <c r="E134" s="32"/>
      <c r="F134" s="33"/>
      <c r="G134" s="33"/>
      <c r="H134" s="34"/>
      <c r="I134" s="66" t="str">
        <f t="shared" si="96"/>
        <v> </v>
      </c>
      <c r="J134" s="66" t="str">
        <f t="shared" si="97"/>
        <v> </v>
      </c>
      <c r="K134" s="66" t="str">
        <f t="shared" si="98"/>
        <v> </v>
      </c>
      <c r="L134" s="66" t="str">
        <f t="shared" si="99"/>
        <v> </v>
      </c>
      <c r="M134" s="66" t="str">
        <f t="shared" si="100"/>
        <v> </v>
      </c>
      <c r="N134" s="66" t="str">
        <f t="shared" si="101"/>
        <v> </v>
      </c>
      <c r="O134" s="66" t="str">
        <f t="shared" si="102"/>
        <v> </v>
      </c>
      <c r="P134" s="66" t="str">
        <f t="shared" si="103"/>
        <v> </v>
      </c>
      <c r="Q134" s="66" t="str">
        <f t="shared" si="104"/>
        <v> </v>
      </c>
      <c r="R134" s="132" t="str">
        <f t="shared" si="105"/>
        <v> </v>
      </c>
    </row>
    <row r="135" s="2" customFormat="1" ht="12" customHeight="1" spans="1:18">
      <c r="A135" s="111"/>
      <c r="B135" s="38"/>
      <c r="C135" s="38"/>
      <c r="D135" s="39"/>
      <c r="E135" s="39"/>
      <c r="F135" s="38"/>
      <c r="G135" s="38"/>
      <c r="H135" s="40"/>
      <c r="I135" s="66" t="str">
        <f t="shared" si="96"/>
        <v> </v>
      </c>
      <c r="J135" s="66" t="str">
        <f t="shared" si="97"/>
        <v> </v>
      </c>
      <c r="K135" s="66" t="str">
        <f t="shared" si="98"/>
        <v> </v>
      </c>
      <c r="L135" s="66" t="str">
        <f t="shared" si="99"/>
        <v> </v>
      </c>
      <c r="M135" s="66" t="str">
        <f t="shared" si="100"/>
        <v> </v>
      </c>
      <c r="N135" s="66" t="str">
        <f t="shared" si="101"/>
        <v> </v>
      </c>
      <c r="O135" s="66" t="str">
        <f t="shared" si="102"/>
        <v> </v>
      </c>
      <c r="P135" s="66" t="str">
        <f t="shared" si="103"/>
        <v> </v>
      </c>
      <c r="Q135" s="66" t="str">
        <f t="shared" si="104"/>
        <v> </v>
      </c>
      <c r="R135" s="132" t="str">
        <f t="shared" si="105"/>
        <v> </v>
      </c>
    </row>
    <row r="136" ht="17.25" customHeight="1" spans="1:21">
      <c r="A136" s="112" t="s">
        <v>259</v>
      </c>
      <c r="B136" s="42"/>
      <c r="C136" s="42"/>
      <c r="D136" s="42"/>
      <c r="E136" s="42"/>
      <c r="F136" s="42"/>
      <c r="G136" s="42"/>
      <c r="H136" s="43"/>
      <c r="I136" s="67">
        <v>0.222</v>
      </c>
      <c r="J136" s="69">
        <v>0.397</v>
      </c>
      <c r="K136" s="69">
        <v>0.617</v>
      </c>
      <c r="L136" s="69">
        <v>0.888</v>
      </c>
      <c r="M136" s="69">
        <v>1.208</v>
      </c>
      <c r="N136" s="69">
        <v>1.576</v>
      </c>
      <c r="O136" s="69">
        <v>2.47</v>
      </c>
      <c r="P136" s="69">
        <v>3.854</v>
      </c>
      <c r="Q136" s="69">
        <v>6.313</v>
      </c>
      <c r="R136" s="133">
        <v>9.866</v>
      </c>
      <c r="T136" s="83"/>
      <c r="U136" s="83"/>
    </row>
    <row r="137" ht="15" customHeight="1" spans="1:21">
      <c r="A137" s="113" t="s">
        <v>260</v>
      </c>
      <c r="B137" s="45"/>
      <c r="C137" s="45"/>
      <c r="D137" s="45"/>
      <c r="E137" s="45"/>
      <c r="F137" s="45"/>
      <c r="G137" s="45"/>
      <c r="H137" s="46"/>
      <c r="I137" s="70">
        <f>SUM(I125:I135)</f>
        <v>24.7752</v>
      </c>
      <c r="J137" s="70">
        <f t="shared" ref="J137:R137" si="107">SUM(J125:J135)</f>
        <v>0</v>
      </c>
      <c r="K137" s="70">
        <f t="shared" si="107"/>
        <v>16.042</v>
      </c>
      <c r="L137" s="70">
        <f t="shared" si="107"/>
        <v>0</v>
      </c>
      <c r="M137" s="70">
        <f t="shared" si="107"/>
        <v>0</v>
      </c>
      <c r="N137" s="70">
        <f t="shared" si="107"/>
        <v>30.67632</v>
      </c>
      <c r="O137" s="70">
        <f t="shared" si="107"/>
        <v>197.97048</v>
      </c>
      <c r="P137" s="70">
        <f t="shared" si="107"/>
        <v>0</v>
      </c>
      <c r="Q137" s="70">
        <f t="shared" si="107"/>
        <v>0</v>
      </c>
      <c r="R137" s="134">
        <f t="shared" si="107"/>
        <v>0</v>
      </c>
      <c r="T137" s="83"/>
      <c r="U137" s="83"/>
    </row>
    <row r="138" s="3" customFormat="1" ht="16.5" customHeight="1" spans="1:21">
      <c r="A138" s="114" t="s">
        <v>261</v>
      </c>
      <c r="B138" s="48"/>
      <c r="C138" s="48"/>
      <c r="D138" s="48"/>
      <c r="E138" s="48"/>
      <c r="F138" s="48"/>
      <c r="G138" s="48"/>
      <c r="H138" s="49"/>
      <c r="I138" s="71"/>
      <c r="J138" s="72"/>
      <c r="K138" s="72"/>
      <c r="L138" s="72"/>
      <c r="M138" s="72"/>
      <c r="N138" s="72"/>
      <c r="O138" s="72"/>
      <c r="P138" s="71"/>
      <c r="Q138" s="71"/>
      <c r="R138" s="135">
        <f>(SUM(I137:R137))</f>
        <v>269.464</v>
      </c>
      <c r="T138" s="86"/>
      <c r="U138" s="86"/>
    </row>
    <row r="139" ht="15.15" spans="1:18">
      <c r="A139" s="115"/>
      <c r="B139" s="51"/>
      <c r="C139" s="52"/>
      <c r="D139" s="53"/>
      <c r="E139" s="53"/>
      <c r="F139" s="53"/>
      <c r="G139" s="52"/>
      <c r="H139" s="54"/>
      <c r="I139" s="75"/>
      <c r="J139" s="75"/>
      <c r="K139" s="75"/>
      <c r="L139" s="75"/>
      <c r="M139" s="75"/>
      <c r="N139" s="75"/>
      <c r="O139" s="75"/>
      <c r="P139" s="75"/>
      <c r="Q139" s="123"/>
      <c r="R139" s="138"/>
    </row>
    <row r="140" s="1" customFormat="1" ht="21" customHeight="1" spans="1:18">
      <c r="A140" s="116" t="s">
        <v>235</v>
      </c>
      <c r="B140" s="17" t="s">
        <v>236</v>
      </c>
      <c r="C140" s="18" t="s">
        <v>237</v>
      </c>
      <c r="D140" s="17" t="s">
        <v>238</v>
      </c>
      <c r="E140" s="17"/>
      <c r="F140" s="17" t="s">
        <v>239</v>
      </c>
      <c r="G140" s="19" t="s">
        <v>240</v>
      </c>
      <c r="H140" s="20" t="s">
        <v>241</v>
      </c>
      <c r="I140" s="63" t="s">
        <v>242</v>
      </c>
      <c r="J140" s="64"/>
      <c r="K140" s="64"/>
      <c r="L140" s="64"/>
      <c r="M140" s="64"/>
      <c r="N140" s="64"/>
      <c r="O140" s="64"/>
      <c r="P140" s="64"/>
      <c r="Q140" s="64"/>
      <c r="R140" s="139"/>
    </row>
    <row r="141" s="1" customFormat="1" ht="15.75" customHeight="1" spans="1:18">
      <c r="A141" s="105"/>
      <c r="B141" s="22"/>
      <c r="C141" s="23"/>
      <c r="D141" s="22"/>
      <c r="E141" s="22"/>
      <c r="F141" s="22"/>
      <c r="G141" s="24"/>
      <c r="H141" s="25"/>
      <c r="I141" s="65" t="s">
        <v>243</v>
      </c>
      <c r="J141" s="65" t="s">
        <v>244</v>
      </c>
      <c r="K141" s="65" t="s">
        <v>245</v>
      </c>
      <c r="L141" s="65" t="s">
        <v>246</v>
      </c>
      <c r="M141" s="65" t="s">
        <v>247</v>
      </c>
      <c r="N141" s="65" t="s">
        <v>248</v>
      </c>
      <c r="O141" s="65" t="s">
        <v>249</v>
      </c>
      <c r="P141" s="65" t="s">
        <v>250</v>
      </c>
      <c r="Q141" s="65" t="s">
        <v>251</v>
      </c>
      <c r="R141" s="131" t="s">
        <v>252</v>
      </c>
    </row>
    <row r="142" s="2" customFormat="1" ht="14.25" customHeight="1" spans="1:18">
      <c r="A142" s="106" t="s">
        <v>253</v>
      </c>
      <c r="B142" s="107"/>
      <c r="C142" s="107"/>
      <c r="D142" s="107"/>
      <c r="E142" s="107"/>
      <c r="F142" s="107"/>
      <c r="G142" s="107"/>
      <c r="H142" s="108"/>
      <c r="I142" s="66" t="str">
        <f>IF(E142=6,(G142*H142*0.222)," ")</f>
        <v> </v>
      </c>
      <c r="J142" s="66" t="str">
        <f>IF(E142=8,(H142*G142*0.395)," ")</f>
        <v> </v>
      </c>
      <c r="K142" s="66" t="str">
        <f>IF(E142=10,(G142*H142*0.617)," ")</f>
        <v> </v>
      </c>
      <c r="L142" s="66" t="str">
        <f>IF(E142=12,(H142*G142*0.888)," ")</f>
        <v> </v>
      </c>
      <c r="M142" s="66" t="str">
        <f>IF(E142=14,(H142*G142*1.208)," ")</f>
        <v> </v>
      </c>
      <c r="N142" s="66" t="str">
        <f>IF(E142=16,(H142*G142*1.578)," ")</f>
        <v> </v>
      </c>
      <c r="O142" s="66" t="str">
        <f>IF(E142=20,(H142*G142*2.466)," ")</f>
        <v> </v>
      </c>
      <c r="P142" s="66" t="str">
        <f>IF(E142=25,(H142*G142*3.854)," ")</f>
        <v> </v>
      </c>
      <c r="Q142" s="66" t="str">
        <f>IF(E142=32,(H142*G142*6.314)," ")</f>
        <v> </v>
      </c>
      <c r="R142" s="132" t="str">
        <f>IF(E142=40,(H142*G142*9.866)," ")</f>
        <v> </v>
      </c>
    </row>
    <row r="143" s="2" customFormat="1" ht="12" customHeight="1" spans="1:18">
      <c r="A143" s="109" t="s">
        <v>307</v>
      </c>
      <c r="B143" s="30"/>
      <c r="C143" s="31"/>
      <c r="D143" s="32"/>
      <c r="E143" s="32"/>
      <c r="F143" s="33"/>
      <c r="G143" s="33"/>
      <c r="H143" s="34"/>
      <c r="I143" s="66" t="str">
        <f t="shared" ref="I143:I149" si="108">IF(E143=6,(G143*H143*0.222)," ")</f>
        <v> </v>
      </c>
      <c r="J143" s="66" t="str">
        <f t="shared" ref="J143:J149" si="109">IF(E143=8,(H143*G143*0.395)," ")</f>
        <v> </v>
      </c>
      <c r="K143" s="66" t="str">
        <f t="shared" ref="K143:K149" si="110">IF(E143=10,(G143*H143*0.617)," ")</f>
        <v> </v>
      </c>
      <c r="L143" s="66" t="str">
        <f t="shared" ref="L143:L149" si="111">IF(E143=12,(H143*G143*0.888)," ")</f>
        <v> </v>
      </c>
      <c r="M143" s="66" t="str">
        <f t="shared" ref="M143:M149" si="112">IF(E143=14,(H143*G143*1.208)," ")</f>
        <v> </v>
      </c>
      <c r="N143" s="66" t="str">
        <f t="shared" ref="N143:N149" si="113">IF(E143=16,(H143*G143*1.578)," ")</f>
        <v> </v>
      </c>
      <c r="O143" s="66" t="str">
        <f t="shared" ref="O143:O149" si="114">IF(E143=20,(H143*G143*2.466)," ")</f>
        <v> </v>
      </c>
      <c r="P143" s="66" t="str">
        <f t="shared" ref="P143:P149" si="115">IF(E143=25,(H143*G143*3.854)," ")</f>
        <v> </v>
      </c>
      <c r="Q143" s="66" t="str">
        <f t="shared" ref="Q143:Q149" si="116">IF(E143=32,(H143*G143*6.314)," ")</f>
        <v> </v>
      </c>
      <c r="R143" s="132" t="str">
        <f t="shared" ref="R143:R149" si="117">IF(E143=40,(H143*G143*9.866)," ")</f>
        <v> </v>
      </c>
    </row>
    <row r="144" s="2" customFormat="1" ht="12" customHeight="1" spans="1:18">
      <c r="A144" s="110"/>
      <c r="B144" s="36"/>
      <c r="C144" s="33">
        <v>3</v>
      </c>
      <c r="D144" s="32" t="s">
        <v>256</v>
      </c>
      <c r="E144" s="32">
        <v>12</v>
      </c>
      <c r="F144" s="33">
        <v>1</v>
      </c>
      <c r="G144" s="33">
        <f t="shared" ref="G144:G147" si="118">F144*C144</f>
        <v>3</v>
      </c>
      <c r="H144" s="34">
        <v>2.49</v>
      </c>
      <c r="I144" s="66" t="str">
        <f t="shared" si="108"/>
        <v> </v>
      </c>
      <c r="J144" s="66" t="str">
        <f t="shared" si="109"/>
        <v> </v>
      </c>
      <c r="K144" s="66" t="str">
        <f t="shared" si="110"/>
        <v> </v>
      </c>
      <c r="L144" s="66">
        <f t="shared" si="111"/>
        <v>6.63336</v>
      </c>
      <c r="M144" s="66" t="str">
        <f t="shared" si="112"/>
        <v> </v>
      </c>
      <c r="N144" s="66" t="str">
        <f t="shared" si="113"/>
        <v> </v>
      </c>
      <c r="O144" s="66" t="str">
        <f t="shared" si="114"/>
        <v> </v>
      </c>
      <c r="P144" s="66" t="str">
        <f t="shared" si="115"/>
        <v> </v>
      </c>
      <c r="Q144" s="66" t="str">
        <f t="shared" si="116"/>
        <v> </v>
      </c>
      <c r="R144" s="132" t="str">
        <f t="shared" si="117"/>
        <v> </v>
      </c>
    </row>
    <row r="145" s="2" customFormat="1" ht="12" customHeight="1" spans="1:18">
      <c r="A145" s="110"/>
      <c r="B145" s="33"/>
      <c r="C145" s="33">
        <v>3</v>
      </c>
      <c r="D145" s="32" t="s">
        <v>256</v>
      </c>
      <c r="E145" s="32">
        <v>16</v>
      </c>
      <c r="F145" s="33">
        <v>1</v>
      </c>
      <c r="G145" s="33">
        <f t="shared" si="118"/>
        <v>3</v>
      </c>
      <c r="H145" s="34">
        <v>2.49</v>
      </c>
      <c r="I145" s="66" t="str">
        <f t="shared" si="108"/>
        <v> </v>
      </c>
      <c r="J145" s="66" t="str">
        <f t="shared" si="109"/>
        <v> </v>
      </c>
      <c r="K145" s="66" t="str">
        <f t="shared" si="110"/>
        <v> </v>
      </c>
      <c r="L145" s="66" t="str">
        <f t="shared" si="111"/>
        <v> </v>
      </c>
      <c r="M145" s="66" t="str">
        <f t="shared" si="112"/>
        <v> </v>
      </c>
      <c r="N145" s="66">
        <f t="shared" si="113"/>
        <v>11.78766</v>
      </c>
      <c r="O145" s="66" t="str">
        <f t="shared" si="114"/>
        <v> </v>
      </c>
      <c r="P145" s="66" t="str">
        <f t="shared" si="115"/>
        <v> </v>
      </c>
      <c r="Q145" s="66" t="str">
        <f t="shared" si="116"/>
        <v> </v>
      </c>
      <c r="R145" s="132" t="str">
        <f t="shared" si="117"/>
        <v> </v>
      </c>
    </row>
    <row r="146" s="2" customFormat="1" ht="12" customHeight="1" spans="1:18">
      <c r="A146" s="110"/>
      <c r="B146" s="36"/>
      <c r="C146" s="33">
        <v>26</v>
      </c>
      <c r="D146" s="32" t="s">
        <v>256</v>
      </c>
      <c r="E146" s="32">
        <v>6</v>
      </c>
      <c r="F146" s="33">
        <v>1</v>
      </c>
      <c r="G146" s="33">
        <f t="shared" si="118"/>
        <v>26</v>
      </c>
      <c r="H146" s="34">
        <v>0.4</v>
      </c>
      <c r="I146" s="66">
        <f t="shared" si="108"/>
        <v>2.3088</v>
      </c>
      <c r="J146" s="66" t="str">
        <f t="shared" si="109"/>
        <v> </v>
      </c>
      <c r="K146" s="66" t="str">
        <f t="shared" si="110"/>
        <v> </v>
      </c>
      <c r="L146" s="66" t="str">
        <f t="shared" si="111"/>
        <v> </v>
      </c>
      <c r="M146" s="66" t="str">
        <f t="shared" si="112"/>
        <v> </v>
      </c>
      <c r="N146" s="66" t="str">
        <f t="shared" si="113"/>
        <v> </v>
      </c>
      <c r="O146" s="66" t="str">
        <f t="shared" si="114"/>
        <v> </v>
      </c>
      <c r="P146" s="66" t="str">
        <f t="shared" si="115"/>
        <v> </v>
      </c>
      <c r="Q146" s="66" t="str">
        <f t="shared" si="116"/>
        <v> </v>
      </c>
      <c r="R146" s="132" t="str">
        <f t="shared" si="117"/>
        <v> </v>
      </c>
    </row>
    <row r="147" s="2" customFormat="1" ht="12" customHeight="1" spans="1:18">
      <c r="A147" s="110"/>
      <c r="B147" s="36"/>
      <c r="C147" s="33">
        <v>26</v>
      </c>
      <c r="D147" s="32" t="s">
        <v>256</v>
      </c>
      <c r="E147" s="32">
        <v>6</v>
      </c>
      <c r="F147" s="33">
        <v>1</v>
      </c>
      <c r="G147" s="33">
        <f t="shared" si="118"/>
        <v>26</v>
      </c>
      <c r="H147" s="34">
        <v>0.98</v>
      </c>
      <c r="I147" s="66">
        <f t="shared" si="108"/>
        <v>5.65656</v>
      </c>
      <c r="J147" s="66" t="str">
        <f t="shared" si="109"/>
        <v> </v>
      </c>
      <c r="K147" s="66" t="str">
        <f t="shared" si="110"/>
        <v> </v>
      </c>
      <c r="L147" s="66" t="str">
        <f t="shared" si="111"/>
        <v> </v>
      </c>
      <c r="M147" s="66" t="str">
        <f t="shared" si="112"/>
        <v> </v>
      </c>
      <c r="N147" s="66" t="str">
        <f t="shared" si="113"/>
        <v> </v>
      </c>
      <c r="O147" s="66" t="str">
        <f t="shared" si="114"/>
        <v> </v>
      </c>
      <c r="P147" s="66" t="str">
        <f t="shared" si="115"/>
        <v> </v>
      </c>
      <c r="Q147" s="66" t="str">
        <f t="shared" si="116"/>
        <v> </v>
      </c>
      <c r="R147" s="132" t="str">
        <f t="shared" si="117"/>
        <v> </v>
      </c>
    </row>
    <row r="148" s="2" customFormat="1" ht="12" customHeight="1" spans="1:18">
      <c r="A148" s="110"/>
      <c r="B148" s="36"/>
      <c r="C148" s="33"/>
      <c r="D148" s="32"/>
      <c r="E148" s="32"/>
      <c r="F148" s="33"/>
      <c r="G148" s="33"/>
      <c r="H148" s="34"/>
      <c r="I148" s="66" t="str">
        <f t="shared" si="108"/>
        <v> </v>
      </c>
      <c r="J148" s="66" t="str">
        <f t="shared" si="109"/>
        <v> </v>
      </c>
      <c r="K148" s="66" t="str">
        <f t="shared" si="110"/>
        <v> </v>
      </c>
      <c r="L148" s="66" t="str">
        <f t="shared" si="111"/>
        <v> </v>
      </c>
      <c r="M148" s="66" t="str">
        <f t="shared" si="112"/>
        <v> </v>
      </c>
      <c r="N148" s="66" t="str">
        <f t="shared" si="113"/>
        <v> </v>
      </c>
      <c r="O148" s="66" t="str">
        <f t="shared" si="114"/>
        <v> </v>
      </c>
      <c r="P148" s="66" t="str">
        <f t="shared" si="115"/>
        <v> </v>
      </c>
      <c r="Q148" s="66" t="str">
        <f t="shared" si="116"/>
        <v> </v>
      </c>
      <c r="R148" s="132" t="str">
        <f t="shared" si="117"/>
        <v> </v>
      </c>
    </row>
    <row r="149" s="2" customFormat="1" ht="12" customHeight="1" spans="1:18">
      <c r="A149" s="111"/>
      <c r="B149" s="38"/>
      <c r="C149" s="38"/>
      <c r="D149" s="39"/>
      <c r="E149" s="39"/>
      <c r="F149" s="38"/>
      <c r="G149" s="38"/>
      <c r="H149" s="40"/>
      <c r="I149" s="66" t="str">
        <f t="shared" si="108"/>
        <v> </v>
      </c>
      <c r="J149" s="66" t="str">
        <f t="shared" si="109"/>
        <v> </v>
      </c>
      <c r="K149" s="66" t="str">
        <f t="shared" si="110"/>
        <v> </v>
      </c>
      <c r="L149" s="66" t="str">
        <f t="shared" si="111"/>
        <v> </v>
      </c>
      <c r="M149" s="66" t="str">
        <f t="shared" si="112"/>
        <v> </v>
      </c>
      <c r="N149" s="66" t="str">
        <f t="shared" si="113"/>
        <v> </v>
      </c>
      <c r="O149" s="66" t="str">
        <f t="shared" si="114"/>
        <v> </v>
      </c>
      <c r="P149" s="66" t="str">
        <f t="shared" si="115"/>
        <v> </v>
      </c>
      <c r="Q149" s="66" t="str">
        <f t="shared" si="116"/>
        <v> </v>
      </c>
      <c r="R149" s="132" t="str">
        <f t="shared" si="117"/>
        <v> </v>
      </c>
    </row>
    <row r="150" ht="17.25" customHeight="1" spans="1:21">
      <c r="A150" s="112" t="s">
        <v>259</v>
      </c>
      <c r="B150" s="42"/>
      <c r="C150" s="42"/>
      <c r="D150" s="42"/>
      <c r="E150" s="42"/>
      <c r="F150" s="42"/>
      <c r="G150" s="42"/>
      <c r="H150" s="43"/>
      <c r="I150" s="67">
        <v>0.222</v>
      </c>
      <c r="J150" s="69">
        <v>0.397</v>
      </c>
      <c r="K150" s="69">
        <v>0.617</v>
      </c>
      <c r="L150" s="69">
        <v>0.888</v>
      </c>
      <c r="M150" s="69">
        <v>1.208</v>
      </c>
      <c r="N150" s="69">
        <v>1.576</v>
      </c>
      <c r="O150" s="69">
        <v>2.47</v>
      </c>
      <c r="P150" s="69">
        <v>3.854</v>
      </c>
      <c r="Q150" s="69">
        <v>6.313</v>
      </c>
      <c r="R150" s="133">
        <v>9.866</v>
      </c>
      <c r="T150" s="83"/>
      <c r="U150" s="83"/>
    </row>
    <row r="151" ht="15" customHeight="1" spans="1:21">
      <c r="A151" s="113" t="s">
        <v>260</v>
      </c>
      <c r="B151" s="45"/>
      <c r="C151" s="45"/>
      <c r="D151" s="45"/>
      <c r="E151" s="45"/>
      <c r="F151" s="45"/>
      <c r="G151" s="45"/>
      <c r="H151" s="46"/>
      <c r="I151" s="70">
        <f>SUM(I142:I149)</f>
        <v>7.96536</v>
      </c>
      <c r="J151" s="70">
        <f t="shared" ref="J151:R151" si="119">SUM(J142:J149)</f>
        <v>0</v>
      </c>
      <c r="K151" s="70">
        <f t="shared" si="119"/>
        <v>0</v>
      </c>
      <c r="L151" s="70">
        <f t="shared" si="119"/>
        <v>6.63336</v>
      </c>
      <c r="M151" s="70">
        <f t="shared" si="119"/>
        <v>0</v>
      </c>
      <c r="N151" s="70">
        <f t="shared" si="119"/>
        <v>11.78766</v>
      </c>
      <c r="O151" s="70">
        <f t="shared" si="119"/>
        <v>0</v>
      </c>
      <c r="P151" s="70">
        <f t="shared" si="119"/>
        <v>0</v>
      </c>
      <c r="Q151" s="70">
        <f t="shared" si="119"/>
        <v>0</v>
      </c>
      <c r="R151" s="134">
        <f t="shared" si="119"/>
        <v>0</v>
      </c>
      <c r="T151" s="83"/>
      <c r="U151" s="83"/>
    </row>
    <row r="152" s="3" customFormat="1" ht="16.5" customHeight="1" spans="1:21">
      <c r="A152" s="114" t="s">
        <v>261</v>
      </c>
      <c r="B152" s="48"/>
      <c r="C152" s="48"/>
      <c r="D152" s="48"/>
      <c r="E152" s="48"/>
      <c r="F152" s="48"/>
      <c r="G152" s="48"/>
      <c r="H152" s="49"/>
      <c r="I152" s="92"/>
      <c r="J152" s="93"/>
      <c r="K152" s="93"/>
      <c r="L152" s="93"/>
      <c r="M152" s="93"/>
      <c r="N152" s="93"/>
      <c r="O152" s="93"/>
      <c r="P152" s="92"/>
      <c r="Q152" s="92"/>
      <c r="R152" s="145">
        <f>(SUM(I151:R151))</f>
        <v>26.38638</v>
      </c>
      <c r="T152" s="86"/>
      <c r="U152" s="86"/>
    </row>
    <row r="153" s="3" customFormat="1" ht="16.5" customHeight="1" spans="1:21">
      <c r="A153" s="140" t="s">
        <v>261</v>
      </c>
      <c r="B153" s="141"/>
      <c r="C153" s="141"/>
      <c r="D153" s="141"/>
      <c r="E153" s="141"/>
      <c r="F153" s="141"/>
      <c r="G153" s="141"/>
      <c r="H153" s="142"/>
      <c r="I153" s="143">
        <f>+R152+R138+R121+R104+R86+R73+R60+R45+R30+R15</f>
        <v>1499.69574</v>
      </c>
      <c r="J153" s="144"/>
      <c r="K153" s="144"/>
      <c r="L153" s="144"/>
      <c r="M153" s="144"/>
      <c r="N153" s="144"/>
      <c r="O153" s="144"/>
      <c r="P153" s="144"/>
      <c r="Q153" s="144"/>
      <c r="R153" s="146"/>
      <c r="T153" s="86"/>
      <c r="U153" s="86"/>
    </row>
    <row r="154" ht="15.15"/>
  </sheetData>
  <mergeCells count="113">
    <mergeCell ref="L2:M2"/>
    <mergeCell ref="I3:R3"/>
    <mergeCell ref="A13:H13"/>
    <mergeCell ref="A14:H14"/>
    <mergeCell ref="A15:H15"/>
    <mergeCell ref="I18:R18"/>
    <mergeCell ref="A28:H28"/>
    <mergeCell ref="A29:H29"/>
    <mergeCell ref="A30:H30"/>
    <mergeCell ref="I32:R32"/>
    <mergeCell ref="A43:H43"/>
    <mergeCell ref="A44:H44"/>
    <mergeCell ref="A45:H45"/>
    <mergeCell ref="I47:R47"/>
    <mergeCell ref="A58:H58"/>
    <mergeCell ref="A59:H59"/>
    <mergeCell ref="A60:H60"/>
    <mergeCell ref="I62:R62"/>
    <mergeCell ref="A71:H71"/>
    <mergeCell ref="A72:H72"/>
    <mergeCell ref="A73:H73"/>
    <mergeCell ref="I75:R75"/>
    <mergeCell ref="A84:H84"/>
    <mergeCell ref="A85:H85"/>
    <mergeCell ref="A86:H86"/>
    <mergeCell ref="I88:R88"/>
    <mergeCell ref="A102:H102"/>
    <mergeCell ref="A103:H103"/>
    <mergeCell ref="A104:H104"/>
    <mergeCell ref="I106:R106"/>
    <mergeCell ref="A119:H119"/>
    <mergeCell ref="A120:H120"/>
    <mergeCell ref="A121:H121"/>
    <mergeCell ref="I123:R123"/>
    <mergeCell ref="A136:H136"/>
    <mergeCell ref="A137:H137"/>
    <mergeCell ref="A138:H138"/>
    <mergeCell ref="I140:R140"/>
    <mergeCell ref="A150:H150"/>
    <mergeCell ref="A151:H151"/>
    <mergeCell ref="A152:H152"/>
    <mergeCell ref="A153:H153"/>
    <mergeCell ref="I153:R153"/>
    <mergeCell ref="A3:A4"/>
    <mergeCell ref="A18:A19"/>
    <mergeCell ref="A32:A33"/>
    <mergeCell ref="A47:A48"/>
    <mergeCell ref="A62:A63"/>
    <mergeCell ref="A75:A76"/>
    <mergeCell ref="A88:A89"/>
    <mergeCell ref="A106:A107"/>
    <mergeCell ref="A123:A124"/>
    <mergeCell ref="A140:A141"/>
    <mergeCell ref="B3:B4"/>
    <mergeCell ref="B18:B19"/>
    <mergeCell ref="B32:B33"/>
    <mergeCell ref="B47:B48"/>
    <mergeCell ref="B62:B63"/>
    <mergeCell ref="B75:B76"/>
    <mergeCell ref="B88:B89"/>
    <mergeCell ref="B106:B107"/>
    <mergeCell ref="B123:B124"/>
    <mergeCell ref="B140:B141"/>
    <mergeCell ref="C3:C4"/>
    <mergeCell ref="C18:C19"/>
    <mergeCell ref="C32:C33"/>
    <mergeCell ref="C47:C48"/>
    <mergeCell ref="C62:C63"/>
    <mergeCell ref="C75:C76"/>
    <mergeCell ref="C88:C89"/>
    <mergeCell ref="C106:C107"/>
    <mergeCell ref="C123:C124"/>
    <mergeCell ref="C140:C141"/>
    <mergeCell ref="F3:F4"/>
    <mergeCell ref="F18:F19"/>
    <mergeCell ref="F32:F33"/>
    <mergeCell ref="F47:F48"/>
    <mergeCell ref="F62:F63"/>
    <mergeCell ref="F75:F76"/>
    <mergeCell ref="F88:F89"/>
    <mergeCell ref="F106:F107"/>
    <mergeCell ref="F123:F124"/>
    <mergeCell ref="F140:F141"/>
    <mergeCell ref="G3:G4"/>
    <mergeCell ref="G18:G19"/>
    <mergeCell ref="G32:G33"/>
    <mergeCell ref="G47:G48"/>
    <mergeCell ref="G62:G63"/>
    <mergeCell ref="G75:G76"/>
    <mergeCell ref="G88:G89"/>
    <mergeCell ref="G106:G107"/>
    <mergeCell ref="G123:G124"/>
    <mergeCell ref="G140:G141"/>
    <mergeCell ref="H3:H4"/>
    <mergeCell ref="H18:H19"/>
    <mergeCell ref="H32:H33"/>
    <mergeCell ref="H47:H48"/>
    <mergeCell ref="H62:H63"/>
    <mergeCell ref="H75:H76"/>
    <mergeCell ref="H88:H89"/>
    <mergeCell ref="H106:H107"/>
    <mergeCell ref="H123:H124"/>
    <mergeCell ref="H140:H141"/>
    <mergeCell ref="D3:E4"/>
    <mergeCell ref="D18:E19"/>
    <mergeCell ref="D32:E33"/>
    <mergeCell ref="D47:E48"/>
    <mergeCell ref="D75:E76"/>
    <mergeCell ref="D62:E63"/>
    <mergeCell ref="D106:E107"/>
    <mergeCell ref="D88:E89"/>
    <mergeCell ref="D140:E141"/>
    <mergeCell ref="D123:E124"/>
  </mergeCells>
  <printOptions horizontalCentered="1"/>
  <pageMargins left="0" right="0" top="0.590551181102362" bottom="0.551181102362205" header="0.31496062992126" footer="0.31496062992126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DP1</vt:lpstr>
      <vt:lpstr>BP1</vt:lpstr>
      <vt:lpstr>ATTACH1</vt:lpstr>
      <vt:lpstr>Detail fondation</vt:lpstr>
      <vt:lpstr>Poteaux Fond</vt:lpstr>
      <vt:lpstr>Fondations Acier</vt:lpstr>
      <vt:lpstr>Poteaux rdc</vt:lpstr>
      <vt:lpstr>Poteaux Etage</vt:lpstr>
      <vt:lpstr>Poutres RDC</vt:lpstr>
      <vt:lpstr>Poutres ETAGE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Ingénieur Génie Civil</cp:lastModifiedBy>
  <dcterms:created xsi:type="dcterms:W3CDTF">2017-11-28T17:31:00Z</dcterms:created>
  <cp:lastPrinted>2018-09-17T16:46:00Z</cp:lastPrinted>
  <dcterms:modified xsi:type="dcterms:W3CDTF">2026-02-20T21:18:56Z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584DCC564AB14C32B87E5C1C85FD2589_12</vt:lpwstr>
  </property>
  <property fmtid="{D5CDD505-2E9C-101B-9397-08002B2CF9AE}" pid="3" name="KSOProductBuildVer">
    <vt:lpwstr>1033-12.2.0.23196</vt:lpwstr>
  </property>
</Properties>
</file>